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'Лист1'!$A$4:$O$80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J22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 г</t>
        </r>
      </text>
    </comment>
    <comment ref="J58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 г</t>
        </r>
      </text>
    </comment>
    <comment ref="J6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 г</t>
        </r>
      </text>
    </comment>
    <comment ref="J67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отс наг</t>
        </r>
      </text>
    </comment>
    <comment ref="J69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отс нагр</t>
        </r>
      </text>
    </comment>
    <comment ref="J70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 г</t>
        </r>
      </text>
    </comment>
    <comment ref="J7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 г</t>
        </r>
      </text>
    </comment>
    <comment ref="J72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 г</t>
        </r>
      </text>
    </comment>
    <comment ref="J68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нетт нагр</t>
        </r>
      </text>
    </comment>
  </commentList>
</comments>
</file>

<file path=xl/sharedStrings.xml><?xml version="1.0" encoding="utf-8"?>
<sst xmlns="http://schemas.openxmlformats.org/spreadsheetml/2006/main" count="310" uniqueCount="117">
  <si>
    <t>№ п/п</t>
  </si>
  <si>
    <t>Наименование питающего центра</t>
  </si>
  <si>
    <t>Производственное отделение</t>
  </si>
  <si>
    <t>Напряжение, кВ</t>
  </si>
  <si>
    <t>Мощность вновь присоединенных потребителей в текущем году, кВА</t>
  </si>
  <si>
    <t>Текущий резерв мощности для присоединения потребителей с учетом присоединенных потребителей, кВА</t>
  </si>
  <si>
    <t>Примечание</t>
  </si>
  <si>
    <t>10/0,4</t>
  </si>
  <si>
    <t>Кол-во и мощность установленных трансформаторов, кВА</t>
  </si>
  <si>
    <t>6/0,4</t>
  </si>
  <si>
    <t>МТП-452</t>
  </si>
  <si>
    <t>ТП-145К</t>
  </si>
  <si>
    <t>ТП-141К</t>
  </si>
  <si>
    <t>ТП-142К</t>
  </si>
  <si>
    <t>ТП-143К</t>
  </si>
  <si>
    <t>ТП-144К</t>
  </si>
  <si>
    <t>ТП-158К</t>
  </si>
  <si>
    <t>ТП-146К</t>
  </si>
  <si>
    <t>РП-1</t>
  </si>
  <si>
    <t>РП-2</t>
  </si>
  <si>
    <t>РП-3</t>
  </si>
  <si>
    <t>РП-4</t>
  </si>
  <si>
    <t>РП-5</t>
  </si>
  <si>
    <t>РП-6</t>
  </si>
  <si>
    <t>РП-7</t>
  </si>
  <si>
    <t>РП-9</t>
  </si>
  <si>
    <t>РП-10</t>
  </si>
  <si>
    <t>РП-11</t>
  </si>
  <si>
    <t>РП-12</t>
  </si>
  <si>
    <t>РП-14</t>
  </si>
  <si>
    <t>РП-18</t>
  </si>
  <si>
    <t>РП-19</t>
  </si>
  <si>
    <t>Мощность по заключенным неисполненным договорам на ТП, кВА</t>
  </si>
  <si>
    <t>Максимальная фактическая нагрузка за предыдущий период, кВА</t>
  </si>
  <si>
    <t>АО "ОРЭС-Петрозаводск"</t>
  </si>
  <si>
    <t>ГБ</t>
  </si>
  <si>
    <t>ТП-459</t>
  </si>
  <si>
    <t>ТП-470</t>
  </si>
  <si>
    <t>ТП-473</t>
  </si>
  <si>
    <t>ТП-481</t>
  </si>
  <si>
    <t>ТП-482</t>
  </si>
  <si>
    <t>ТП-483</t>
  </si>
  <si>
    <t>ТП-487</t>
  </si>
  <si>
    <t>ТП-488</t>
  </si>
  <si>
    <t>ТП-489</t>
  </si>
  <si>
    <t>ТП-490</t>
  </si>
  <si>
    <t>ТП-491</t>
  </si>
  <si>
    <t>ТП-492</t>
  </si>
  <si>
    <t>ТП-493</t>
  </si>
  <si>
    <t>ТП-494</t>
  </si>
  <si>
    <t>ТП-497</t>
  </si>
  <si>
    <t>ТП-499</t>
  </si>
  <si>
    <t>ТП-500</t>
  </si>
  <si>
    <t>ТП-528</t>
  </si>
  <si>
    <t>ТП-707</t>
  </si>
  <si>
    <t>ТП-718</t>
  </si>
  <si>
    <t>ТП-819</t>
  </si>
  <si>
    <t>ТП-820</t>
  </si>
  <si>
    <t>ТП-884</t>
  </si>
  <si>
    <t>ТП-900</t>
  </si>
  <si>
    <t>ТП-1000</t>
  </si>
  <si>
    <t>ТП-1003</t>
  </si>
  <si>
    <t>ТП-1004</t>
  </si>
  <si>
    <t>ТП-1005</t>
  </si>
  <si>
    <t>ТП-1006</t>
  </si>
  <si>
    <t>ТП-1007</t>
  </si>
  <si>
    <t>ТП-1008</t>
  </si>
  <si>
    <t>ТП-1009</t>
  </si>
  <si>
    <t>ТП-1010</t>
  </si>
  <si>
    <t>ТП-1012</t>
  </si>
  <si>
    <t>ТП-1013</t>
  </si>
  <si>
    <t>ТП-1014</t>
  </si>
  <si>
    <t>ТП-1015</t>
  </si>
  <si>
    <t>ТП-1016</t>
  </si>
  <si>
    <t>ТП-1017</t>
  </si>
  <si>
    <t>ТП-1018</t>
  </si>
  <si>
    <t>ТП-1019</t>
  </si>
  <si>
    <t>ТП-1020</t>
  </si>
  <si>
    <t>ТП-1021</t>
  </si>
  <si>
    <t>ТП-1022</t>
  </si>
  <si>
    <t>ТП-1023</t>
  </si>
  <si>
    <t>ТП-1024</t>
  </si>
  <si>
    <t>ТП-1025</t>
  </si>
  <si>
    <t>ТП-1027</t>
  </si>
  <si>
    <t>ТП-1029</t>
  </si>
  <si>
    <t>ТП-1031</t>
  </si>
  <si>
    <t>ТП-1032</t>
  </si>
  <si>
    <t>ТП-1033</t>
  </si>
  <si>
    <t>ТП-1034</t>
  </si>
  <si>
    <t>РП-26</t>
  </si>
  <si>
    <t>Максимально допустимая длительная  нагрузка питающего центра, кВА</t>
  </si>
  <si>
    <t>ООО "ОРЭС-Карелия"</t>
  </si>
  <si>
    <t>ТП-442</t>
  </si>
  <si>
    <t>ТП-445</t>
  </si>
  <si>
    <t>ТП-447</t>
  </si>
  <si>
    <t>ТП-455</t>
  </si>
  <si>
    <t>ТП-469</t>
  </si>
  <si>
    <t>ТП-471</t>
  </si>
  <si>
    <t>ТП-472</t>
  </si>
  <si>
    <t>ТП-475</t>
  </si>
  <si>
    <t>ТП-477</t>
  </si>
  <si>
    <t>ТП-478</t>
  </si>
  <si>
    <t>ТП-479</t>
  </si>
  <si>
    <t>ТП-910</t>
  </si>
  <si>
    <t>ТП-1035</t>
  </si>
  <si>
    <t>РП-24</t>
  </si>
  <si>
    <t>Резерв/дефецитмощности с учетом заключенных договоров на ТП и вновь присоединенных в текущем году, кВА</t>
  </si>
  <si>
    <t>ТП-367</t>
  </si>
  <si>
    <t>10/0,5</t>
  </si>
  <si>
    <t>ТП-1050</t>
  </si>
  <si>
    <t>ТП-1052</t>
  </si>
  <si>
    <t>ТП-1042</t>
  </si>
  <si>
    <t>ТП-1051</t>
  </si>
  <si>
    <t>Планируется замена трансформаторов</t>
  </si>
  <si>
    <t>ТП-457</t>
  </si>
  <si>
    <t>Информация по фактическим и перспективным нагрузкам центров питания до 35  кВ ООО "ОРЭС-Карелия" на 27.03.2020</t>
  </si>
  <si>
    <t>ТП-1028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</si>
</sst>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  <numFmt numFmtId="178" formatCode="0.000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10" xfId="54" applyFont="1" applyFill="1" applyBorder="1" applyAlignment="1">
      <alignment horizontal="center" vertical="center" wrapText="1"/>
      <protection/>
    </xf>
    <xf numFmtId="0" fontId="3" fillId="0" borderId="11" xfId="54" applyFont="1" applyFill="1" applyBorder="1" applyAlignment="1">
      <alignment horizontal="center" vertical="center" textRotation="90" wrapText="1"/>
      <protection/>
    </xf>
    <xf numFmtId="0" fontId="4" fillId="0" borderId="11" xfId="54" applyFont="1" applyFill="1" applyBorder="1" applyAlignment="1">
      <alignment horizontal="center" vertical="center" textRotation="90" wrapText="1"/>
      <protection/>
    </xf>
    <xf numFmtId="0" fontId="3" fillId="0" borderId="12" xfId="54" applyFont="1" applyFill="1" applyBorder="1" applyAlignment="1">
      <alignment horizontal="center" vertical="center" wrapText="1"/>
      <protection/>
    </xf>
    <xf numFmtId="0" fontId="6" fillId="0" borderId="12" xfId="54" applyFont="1" applyFill="1" applyBorder="1" applyAlignment="1">
      <alignment horizontal="center" vertical="center" wrapText="1"/>
      <protection/>
    </xf>
    <xf numFmtId="0" fontId="4" fillId="0" borderId="12" xfId="54" applyFont="1" applyFill="1" applyBorder="1" applyAlignment="1">
      <alignment horizontal="center" vertical="center" wrapText="1"/>
      <protection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 wrapText="1" shrinkToFit="1"/>
    </xf>
    <xf numFmtId="0" fontId="5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2" fillId="0" borderId="0" xfId="0" applyFont="1" applyFill="1" applyAlignment="1">
      <alignment horizontal="center" vertical="center" wrapText="1" shrinkToFit="1"/>
    </xf>
    <xf numFmtId="0" fontId="5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/>
    </xf>
    <xf numFmtId="0" fontId="32" fillId="0" borderId="0" xfId="0" applyFont="1" applyAlignment="1">
      <alignment horizontal="center" vertical="center"/>
    </xf>
    <xf numFmtId="0" fontId="4" fillId="0" borderId="13" xfId="53" applyFont="1" applyFill="1" applyBorder="1" applyAlignment="1">
      <alignment horizontal="center" vertical="center" textRotation="90" wrapText="1"/>
      <protection/>
    </xf>
    <xf numFmtId="1" fontId="8" fillId="0" borderId="12" xfId="54" applyNumberFormat="1" applyFont="1" applyFill="1" applyBorder="1" applyAlignment="1">
      <alignment horizontal="center" vertical="center"/>
      <protection/>
    </xf>
    <xf numFmtId="0" fontId="9" fillId="0" borderId="14" xfId="53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176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52" fillId="33" borderId="0" xfId="0" applyFont="1" applyFill="1" applyAlignment="1">
      <alignment horizontal="center" vertical="center"/>
    </xf>
    <xf numFmtId="0" fontId="52" fillId="34" borderId="0" xfId="0" applyFont="1" applyFill="1" applyAlignment="1">
      <alignment horizontal="center" vertical="center"/>
    </xf>
    <xf numFmtId="0" fontId="52" fillId="34" borderId="0" xfId="0" applyFont="1" applyFill="1" applyAlignment="1">
      <alignment horizontal="center" vertical="center" wrapText="1" shrinkToFit="1"/>
    </xf>
    <xf numFmtId="0" fontId="52" fillId="34" borderId="0" xfId="0" applyFont="1" applyFill="1" applyBorder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176" fontId="7" fillId="34" borderId="0" xfId="0" applyNumberFormat="1" applyFont="1" applyFill="1" applyAlignment="1">
      <alignment horizontal="center" vertical="center"/>
    </xf>
    <xf numFmtId="0" fontId="0" fillId="34" borderId="0" xfId="0" applyFill="1" applyAlignment="1">
      <alignment/>
    </xf>
    <xf numFmtId="0" fontId="32" fillId="34" borderId="0" xfId="0" applyFont="1" applyFill="1" applyAlignment="1">
      <alignment horizontal="center" vertical="center"/>
    </xf>
    <xf numFmtId="0" fontId="32" fillId="0" borderId="0" xfId="0" applyNumberFormat="1" applyFont="1" applyFill="1" applyAlignment="1">
      <alignment horizontal="center" vertical="center"/>
    </xf>
    <xf numFmtId="0" fontId="4" fillId="0" borderId="11" xfId="54" applyNumberFormat="1" applyFont="1" applyFill="1" applyBorder="1" applyAlignment="1">
      <alignment horizontal="center" vertical="center" textRotation="90" wrapText="1"/>
      <protection/>
    </xf>
    <xf numFmtId="0" fontId="4" fillId="0" borderId="12" xfId="54" applyNumberFormat="1" applyFont="1" applyFill="1" applyBorder="1" applyAlignment="1">
      <alignment horizontal="center" vertical="center" wrapText="1"/>
      <protection/>
    </xf>
    <xf numFmtId="0" fontId="4" fillId="0" borderId="15" xfId="54" applyFont="1" applyFill="1" applyBorder="1" applyAlignment="1">
      <alignment horizontal="center" vertical="center" textRotation="90" wrapText="1"/>
      <protection/>
    </xf>
    <xf numFmtId="0" fontId="10" fillId="0" borderId="0" xfId="0" applyFont="1" applyFill="1" applyAlignment="1">
      <alignment horizontal="center" vertical="center" wrapText="1" shrinkToFit="1"/>
    </xf>
    <xf numFmtId="176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" fontId="10" fillId="0" borderId="0" xfId="0" applyNumberFormat="1" applyFont="1" applyFill="1" applyAlignment="1">
      <alignment horizontal="center" vertical="center"/>
    </xf>
    <xf numFmtId="0" fontId="42" fillId="0" borderId="0" xfId="0" applyFont="1" applyFill="1" applyAlignment="1">
      <alignment horizontal="center"/>
    </xf>
    <xf numFmtId="0" fontId="3" fillId="0" borderId="16" xfId="54" applyFont="1" applyFill="1" applyBorder="1" applyAlignment="1">
      <alignment horizontal="center" vertical="center" textRotation="90" wrapText="1"/>
      <protection/>
    </xf>
    <xf numFmtId="0" fontId="3" fillId="0" borderId="17" xfId="54" applyFont="1" applyFill="1" applyBorder="1" applyAlignment="1">
      <alignment horizontal="center" vertical="center" textRotation="90" wrapText="1"/>
      <protection/>
    </xf>
    <xf numFmtId="0" fontId="3" fillId="0" borderId="15" xfId="54" applyFont="1" applyFill="1" applyBorder="1" applyAlignment="1">
      <alignment horizontal="center" vertical="center" textRotation="90" wrapText="1"/>
      <protection/>
    </xf>
    <xf numFmtId="0" fontId="32" fillId="0" borderId="18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 2" xfId="53"/>
    <cellStyle name="Обычный_Янтарьэнерго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O3" sqref="O3"/>
    </sheetView>
  </sheetViews>
  <sheetFormatPr defaultColWidth="9.140625" defaultRowHeight="15"/>
  <cols>
    <col min="1" max="1" width="9.140625" style="10" customWidth="1"/>
    <col min="2" max="2" width="10.7109375" style="10" customWidth="1"/>
    <col min="3" max="3" width="20.00390625" style="10" customWidth="1"/>
    <col min="4" max="4" width="9.140625" style="10" customWidth="1"/>
    <col min="5" max="6" width="5.28125" style="10" customWidth="1"/>
    <col min="7" max="8" width="3.57421875" style="10" customWidth="1"/>
    <col min="9" max="9" width="7.00390625" style="10" customWidth="1"/>
    <col min="10" max="10" width="7.00390625" style="17" hidden="1" customWidth="1"/>
    <col min="11" max="11" width="6.8515625" style="17" hidden="1" customWidth="1"/>
    <col min="12" max="12" width="7.421875" style="35" hidden="1" customWidth="1"/>
    <col min="13" max="13" width="10.00390625" style="17" hidden="1" customWidth="1"/>
    <col min="14" max="14" width="12.28125" style="17" customWidth="1"/>
    <col min="15" max="15" width="27.28125" style="17" customWidth="1"/>
    <col min="16" max="16384" width="9.140625" style="13" customWidth="1"/>
  </cols>
  <sheetData>
    <row r="1" spans="1:15" ht="15">
      <c r="A1" s="44" t="s">
        <v>115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1:12" ht="15.75" thickBot="1">
      <c r="K2" s="48"/>
      <c r="L2" s="48"/>
    </row>
    <row r="3" spans="1:15" ht="263.25" customHeight="1">
      <c r="A3" s="1" t="s">
        <v>0</v>
      </c>
      <c r="B3" s="2" t="s">
        <v>1</v>
      </c>
      <c r="C3" s="2" t="s">
        <v>2</v>
      </c>
      <c r="D3" s="2" t="s">
        <v>3</v>
      </c>
      <c r="E3" s="45" t="s">
        <v>8</v>
      </c>
      <c r="F3" s="46"/>
      <c r="G3" s="46"/>
      <c r="H3" s="47"/>
      <c r="I3" s="2" t="s">
        <v>90</v>
      </c>
      <c r="J3" s="3" t="s">
        <v>33</v>
      </c>
      <c r="K3" s="38" t="s">
        <v>4</v>
      </c>
      <c r="L3" s="36" t="s">
        <v>32</v>
      </c>
      <c r="M3" s="3" t="s">
        <v>5</v>
      </c>
      <c r="N3" s="3" t="s">
        <v>106</v>
      </c>
      <c r="O3" s="20" t="s">
        <v>6</v>
      </c>
    </row>
    <row r="4" spans="1:15" ht="16.5" thickBot="1">
      <c r="A4" s="4">
        <v>1</v>
      </c>
      <c r="B4" s="5">
        <v>2</v>
      </c>
      <c r="C4" s="4">
        <v>3</v>
      </c>
      <c r="D4" s="4">
        <v>4</v>
      </c>
      <c r="E4" s="4">
        <v>5</v>
      </c>
      <c r="F4" s="4">
        <v>6</v>
      </c>
      <c r="G4" s="4"/>
      <c r="H4" s="4"/>
      <c r="I4" s="4">
        <v>6</v>
      </c>
      <c r="J4" s="6">
        <v>7</v>
      </c>
      <c r="K4" s="6">
        <v>8</v>
      </c>
      <c r="L4" s="37">
        <v>9</v>
      </c>
      <c r="M4" s="21">
        <v>11</v>
      </c>
      <c r="N4" s="21">
        <v>12</v>
      </c>
      <c r="O4" s="22">
        <v>13</v>
      </c>
    </row>
    <row r="5" spans="1:16" s="18" customFormat="1" ht="30">
      <c r="A5" s="14">
        <v>1</v>
      </c>
      <c r="B5" s="41" t="s">
        <v>107</v>
      </c>
      <c r="C5" s="39" t="s">
        <v>34</v>
      </c>
      <c r="D5" s="39" t="s">
        <v>108</v>
      </c>
      <c r="E5" s="41">
        <v>630</v>
      </c>
      <c r="F5" s="41">
        <v>0</v>
      </c>
      <c r="G5" s="42">
        <v>0</v>
      </c>
      <c r="H5" s="41">
        <v>0</v>
      </c>
      <c r="I5" s="41">
        <v>630</v>
      </c>
      <c r="J5" s="41">
        <f>E5*0.4</f>
        <v>252</v>
      </c>
      <c r="K5" s="40">
        <f>10/0.9</f>
        <v>11.11111111111111</v>
      </c>
      <c r="L5" s="40">
        <f>60/0.9+15/0.9</f>
        <v>83.33333333333334</v>
      </c>
      <c r="M5" s="40">
        <f>I5-J5-K5</f>
        <v>366.8888888888889</v>
      </c>
      <c r="N5" s="40">
        <f>I5-J5-L5-K5</f>
        <v>283.55555555555554</v>
      </c>
      <c r="O5" s="17"/>
      <c r="P5" s="14"/>
    </row>
    <row r="6" spans="1:16" s="18" customFormat="1" ht="30">
      <c r="A6" s="41">
        <f>A5+1</f>
        <v>2</v>
      </c>
      <c r="B6" s="41" t="s">
        <v>92</v>
      </c>
      <c r="C6" s="39" t="s">
        <v>91</v>
      </c>
      <c r="D6" s="39" t="s">
        <v>9</v>
      </c>
      <c r="E6" s="41">
        <v>400</v>
      </c>
      <c r="F6" s="41">
        <v>0</v>
      </c>
      <c r="G6" s="42">
        <v>0</v>
      </c>
      <c r="H6" s="41">
        <v>0</v>
      </c>
      <c r="I6" s="41">
        <v>400</v>
      </c>
      <c r="J6" s="41">
        <f>E6*0.31</f>
        <v>124</v>
      </c>
      <c r="K6" s="40">
        <f>15/0.9+72/0.9</f>
        <v>96.66666666666667</v>
      </c>
      <c r="L6" s="40">
        <f>213/0.9+8/0.9+15/0.9</f>
        <v>262.22222222222223</v>
      </c>
      <c r="M6" s="40">
        <f aca="true" t="shared" si="0" ref="M6:M18">I6-J6-K6</f>
        <v>179.33333333333331</v>
      </c>
      <c r="N6" s="40">
        <f aca="true" t="shared" si="1" ref="N6:N14">I6-J6-L6-K6</f>
        <v>-82.8888888888889</v>
      </c>
      <c r="O6" s="17"/>
      <c r="P6" s="14"/>
    </row>
    <row r="7" spans="1:16" s="18" customFormat="1" ht="30">
      <c r="A7" s="41">
        <f aca="true" t="shared" si="2" ref="A7:A70">A6+1</f>
        <v>3</v>
      </c>
      <c r="B7" s="41" t="s">
        <v>93</v>
      </c>
      <c r="C7" s="39" t="s">
        <v>91</v>
      </c>
      <c r="D7" s="39" t="s">
        <v>7</v>
      </c>
      <c r="E7" s="41">
        <v>250</v>
      </c>
      <c r="F7" s="41">
        <v>250</v>
      </c>
      <c r="G7" s="42">
        <v>0</v>
      </c>
      <c r="H7" s="41">
        <v>0</v>
      </c>
      <c r="I7" s="41">
        <f>E7*1.1</f>
        <v>275</v>
      </c>
      <c r="J7" s="41">
        <f>E7*0.06+F7*0.42</f>
        <v>120</v>
      </c>
      <c r="K7" s="40">
        <v>0</v>
      </c>
      <c r="L7" s="40">
        <v>0</v>
      </c>
      <c r="M7" s="40">
        <f t="shared" si="0"/>
        <v>155</v>
      </c>
      <c r="N7" s="40">
        <f t="shared" si="1"/>
        <v>155</v>
      </c>
      <c r="O7" s="17"/>
      <c r="P7" s="14"/>
    </row>
    <row r="8" spans="1:16" s="18" customFormat="1" ht="30">
      <c r="A8" s="41">
        <f t="shared" si="2"/>
        <v>4</v>
      </c>
      <c r="B8" s="41" t="s">
        <v>94</v>
      </c>
      <c r="C8" s="39" t="s">
        <v>91</v>
      </c>
      <c r="D8" s="39" t="s">
        <v>7</v>
      </c>
      <c r="E8" s="41">
        <v>400</v>
      </c>
      <c r="F8" s="41">
        <v>0</v>
      </c>
      <c r="G8" s="42">
        <v>0</v>
      </c>
      <c r="H8" s="41">
        <v>0</v>
      </c>
      <c r="I8" s="41">
        <v>400</v>
      </c>
      <c r="J8" s="41">
        <f>E8*0.07</f>
        <v>28.000000000000004</v>
      </c>
      <c r="K8" s="40">
        <v>0</v>
      </c>
      <c r="L8" s="40">
        <v>0</v>
      </c>
      <c r="M8" s="40">
        <f t="shared" si="0"/>
        <v>372</v>
      </c>
      <c r="N8" s="40">
        <f t="shared" si="1"/>
        <v>372</v>
      </c>
      <c r="O8" s="17"/>
      <c r="P8" s="14"/>
    </row>
    <row r="9" spans="1:16" s="18" customFormat="1" ht="30">
      <c r="A9" s="41">
        <f t="shared" si="2"/>
        <v>5</v>
      </c>
      <c r="B9" s="41" t="s">
        <v>10</v>
      </c>
      <c r="C9" s="39" t="s">
        <v>91</v>
      </c>
      <c r="D9" s="39" t="s">
        <v>9</v>
      </c>
      <c r="E9" s="41">
        <v>160</v>
      </c>
      <c r="F9" s="41">
        <v>0</v>
      </c>
      <c r="G9" s="42">
        <v>0</v>
      </c>
      <c r="H9" s="41">
        <v>0</v>
      </c>
      <c r="I9" s="41">
        <v>160</v>
      </c>
      <c r="J9" s="41">
        <f>E9*0.22</f>
        <v>35.2</v>
      </c>
      <c r="K9" s="40">
        <v>0</v>
      </c>
      <c r="L9" s="40">
        <f>27/0.9+10/0.9+15/0.9</f>
        <v>57.777777777777786</v>
      </c>
      <c r="M9" s="40">
        <f t="shared" si="0"/>
        <v>124.8</v>
      </c>
      <c r="N9" s="40">
        <f t="shared" si="1"/>
        <v>67.02222222222221</v>
      </c>
      <c r="O9" s="17"/>
      <c r="P9" s="14"/>
    </row>
    <row r="10" spans="1:16" s="18" customFormat="1" ht="30">
      <c r="A10" s="41">
        <f t="shared" si="2"/>
        <v>6</v>
      </c>
      <c r="B10" s="41" t="s">
        <v>95</v>
      </c>
      <c r="C10" s="39" t="s">
        <v>91</v>
      </c>
      <c r="D10" s="39" t="s">
        <v>7</v>
      </c>
      <c r="E10" s="41">
        <v>160</v>
      </c>
      <c r="F10" s="41">
        <v>160</v>
      </c>
      <c r="G10" s="42">
        <v>0</v>
      </c>
      <c r="H10" s="41">
        <v>0</v>
      </c>
      <c r="I10" s="41">
        <f>E10*1.1</f>
        <v>176</v>
      </c>
      <c r="J10" s="41">
        <f>E10*0.17+F10*0.09</f>
        <v>41.6</v>
      </c>
      <c r="K10" s="40">
        <v>0</v>
      </c>
      <c r="L10" s="40">
        <v>0</v>
      </c>
      <c r="M10" s="40">
        <f>I10-J10-K10-100</f>
        <v>34.400000000000006</v>
      </c>
      <c r="N10" s="40">
        <f>I10-J10-L10-K10-110</f>
        <v>24.400000000000006</v>
      </c>
      <c r="O10" s="17"/>
      <c r="P10" s="14"/>
    </row>
    <row r="11" spans="1:16" s="18" customFormat="1" ht="30">
      <c r="A11" s="41">
        <f t="shared" si="2"/>
        <v>7</v>
      </c>
      <c r="B11" s="41" t="s">
        <v>114</v>
      </c>
      <c r="C11" s="39" t="s">
        <v>91</v>
      </c>
      <c r="D11" s="39" t="s">
        <v>7</v>
      </c>
      <c r="E11" s="41">
        <v>400</v>
      </c>
      <c r="F11" s="41">
        <v>0</v>
      </c>
      <c r="G11" s="42">
        <v>0</v>
      </c>
      <c r="H11" s="41">
        <v>0</v>
      </c>
      <c r="I11" s="41">
        <v>400</v>
      </c>
      <c r="J11" s="41">
        <f>E11*0.51</f>
        <v>204</v>
      </c>
      <c r="K11" s="40">
        <v>0</v>
      </c>
      <c r="L11" s="40">
        <f>0</f>
        <v>0</v>
      </c>
      <c r="M11" s="40">
        <f>I11-J11-K11-100</f>
        <v>96</v>
      </c>
      <c r="N11" s="40">
        <f>I11-J11-L11-K11-110</f>
        <v>86</v>
      </c>
      <c r="O11" s="17"/>
      <c r="P11" s="14"/>
    </row>
    <row r="12" spans="1:15" s="18" customFormat="1" ht="30">
      <c r="A12" s="41">
        <f t="shared" si="2"/>
        <v>8</v>
      </c>
      <c r="B12" s="41" t="s">
        <v>96</v>
      </c>
      <c r="C12" s="39" t="s">
        <v>91</v>
      </c>
      <c r="D12" s="39" t="s">
        <v>9</v>
      </c>
      <c r="E12" s="41">
        <v>250</v>
      </c>
      <c r="F12" s="41">
        <v>250</v>
      </c>
      <c r="G12" s="42">
        <v>0</v>
      </c>
      <c r="H12" s="41">
        <v>0</v>
      </c>
      <c r="I12" s="41">
        <f>E12*1.1</f>
        <v>275</v>
      </c>
      <c r="J12" s="41">
        <f>F12*0.18+E12*0.1</f>
        <v>70</v>
      </c>
      <c r="K12" s="40">
        <v>0</v>
      </c>
      <c r="L12" s="40">
        <v>0</v>
      </c>
      <c r="M12" s="40">
        <f t="shared" si="0"/>
        <v>205</v>
      </c>
      <c r="N12" s="40">
        <f t="shared" si="1"/>
        <v>205</v>
      </c>
      <c r="O12" s="39"/>
    </row>
    <row r="13" spans="1:15" s="18" customFormat="1" ht="30">
      <c r="A13" s="41">
        <f t="shared" si="2"/>
        <v>9</v>
      </c>
      <c r="B13" s="41" t="s">
        <v>97</v>
      </c>
      <c r="C13" s="39" t="s">
        <v>91</v>
      </c>
      <c r="D13" s="39" t="s">
        <v>7</v>
      </c>
      <c r="E13" s="41">
        <v>400</v>
      </c>
      <c r="F13" s="41">
        <v>0</v>
      </c>
      <c r="G13" s="42">
        <v>0</v>
      </c>
      <c r="H13" s="41">
        <v>0</v>
      </c>
      <c r="I13" s="41">
        <v>400</v>
      </c>
      <c r="J13" s="41">
        <f>E13*0.36</f>
        <v>144</v>
      </c>
      <c r="K13" s="40">
        <f>30/0.9+30/0.9</f>
        <v>66.66666666666667</v>
      </c>
      <c r="L13" s="40">
        <f>177/0.9+30/0.9+15/0.9</f>
        <v>246.66666666666666</v>
      </c>
      <c r="M13" s="40">
        <f t="shared" si="0"/>
        <v>189.33333333333331</v>
      </c>
      <c r="N13" s="40">
        <f t="shared" si="1"/>
        <v>-57.33333333333333</v>
      </c>
      <c r="O13" s="39"/>
    </row>
    <row r="14" spans="1:15" s="18" customFormat="1" ht="30">
      <c r="A14" s="41">
        <f t="shared" si="2"/>
        <v>10</v>
      </c>
      <c r="B14" s="41" t="s">
        <v>98</v>
      </c>
      <c r="C14" s="39" t="s">
        <v>91</v>
      </c>
      <c r="D14" s="39" t="s">
        <v>7</v>
      </c>
      <c r="E14" s="41">
        <v>630</v>
      </c>
      <c r="F14" s="41">
        <v>0</v>
      </c>
      <c r="G14" s="42">
        <v>0</v>
      </c>
      <c r="H14" s="41">
        <v>0</v>
      </c>
      <c r="I14" s="41">
        <v>630</v>
      </c>
      <c r="J14" s="41">
        <f>E14*0.52</f>
        <v>327.6</v>
      </c>
      <c r="K14" s="40">
        <f>30/0.9+15/0.9+15/0.9</f>
        <v>66.66666666666667</v>
      </c>
      <c r="L14" s="40">
        <f>209/0.9+10/0.9</f>
        <v>243.33333333333334</v>
      </c>
      <c r="M14" s="40">
        <f t="shared" si="0"/>
        <v>235.7333333333333</v>
      </c>
      <c r="N14" s="40">
        <f t="shared" si="1"/>
        <v>-7.600000000000037</v>
      </c>
      <c r="O14" s="39"/>
    </row>
    <row r="15" spans="1:15" s="18" customFormat="1" ht="30">
      <c r="A15" s="41">
        <f t="shared" si="2"/>
        <v>11</v>
      </c>
      <c r="B15" s="41" t="s">
        <v>99</v>
      </c>
      <c r="C15" s="39" t="s">
        <v>91</v>
      </c>
      <c r="D15" s="39" t="s">
        <v>9</v>
      </c>
      <c r="E15" s="41">
        <v>250</v>
      </c>
      <c r="F15" s="41">
        <v>0</v>
      </c>
      <c r="G15" s="42">
        <v>0</v>
      </c>
      <c r="H15" s="41">
        <v>0</v>
      </c>
      <c r="I15" s="41">
        <v>250</v>
      </c>
      <c r="J15" s="41">
        <f>E15*0.15</f>
        <v>37.5</v>
      </c>
      <c r="K15" s="40">
        <f>15/0.9</f>
        <v>16.666666666666668</v>
      </c>
      <c r="L15" s="40">
        <v>0</v>
      </c>
      <c r="M15" s="40">
        <f t="shared" si="0"/>
        <v>195.83333333333334</v>
      </c>
      <c r="N15" s="40">
        <f>I15-J15-L15-K15-100</f>
        <v>95.83333333333334</v>
      </c>
      <c r="O15" s="39"/>
    </row>
    <row r="16" spans="1:15" s="18" customFormat="1" ht="30">
      <c r="A16" s="41">
        <f t="shared" si="2"/>
        <v>12</v>
      </c>
      <c r="B16" s="41" t="s">
        <v>100</v>
      </c>
      <c r="C16" s="39" t="s">
        <v>91</v>
      </c>
      <c r="D16" s="39" t="s">
        <v>9</v>
      </c>
      <c r="E16" s="41">
        <v>250</v>
      </c>
      <c r="F16" s="41">
        <v>0</v>
      </c>
      <c r="G16" s="42">
        <v>0</v>
      </c>
      <c r="H16" s="41">
        <v>0</v>
      </c>
      <c r="I16" s="41">
        <v>250</v>
      </c>
      <c r="J16" s="41">
        <v>0</v>
      </c>
      <c r="K16" s="40">
        <f>20/0.9</f>
        <v>22.22222222222222</v>
      </c>
      <c r="L16" s="40">
        <f>20/0.9</f>
        <v>22.22222222222222</v>
      </c>
      <c r="M16" s="40">
        <f>I16-J16-K16-250</f>
        <v>-22.22222222222223</v>
      </c>
      <c r="N16" s="40">
        <f>I16-J16-L16-K16-250</f>
        <v>-44.44444444444446</v>
      </c>
      <c r="O16" s="39"/>
    </row>
    <row r="17" spans="1:15" s="18" customFormat="1" ht="30">
      <c r="A17" s="41">
        <f t="shared" si="2"/>
        <v>13</v>
      </c>
      <c r="B17" s="41" t="s">
        <v>101</v>
      </c>
      <c r="C17" s="39" t="s">
        <v>91</v>
      </c>
      <c r="D17" s="39" t="s">
        <v>9</v>
      </c>
      <c r="E17" s="41">
        <v>630</v>
      </c>
      <c r="F17" s="41">
        <v>630</v>
      </c>
      <c r="G17" s="42">
        <v>0</v>
      </c>
      <c r="H17" s="41">
        <v>0</v>
      </c>
      <c r="I17" s="41">
        <f>E17*1.1</f>
        <v>693</v>
      </c>
      <c r="J17" s="41">
        <f>E17*0.1+F17*0.19</f>
        <v>182.7</v>
      </c>
      <c r="K17" s="40">
        <v>0</v>
      </c>
      <c r="L17" s="40">
        <v>0</v>
      </c>
      <c r="M17" s="40">
        <f>I17-J17-K17-139</f>
        <v>371.3</v>
      </c>
      <c r="N17" s="40">
        <f>I17-J17-L17-K17-139-300</f>
        <v>71.30000000000001</v>
      </c>
      <c r="O17" s="39"/>
    </row>
    <row r="18" spans="1:15" s="18" customFormat="1" ht="30">
      <c r="A18" s="41">
        <f t="shared" si="2"/>
        <v>14</v>
      </c>
      <c r="B18" s="41" t="s">
        <v>102</v>
      </c>
      <c r="C18" s="39" t="s">
        <v>91</v>
      </c>
      <c r="D18" s="39" t="s">
        <v>7</v>
      </c>
      <c r="E18" s="41">
        <v>630</v>
      </c>
      <c r="F18" s="41">
        <v>0</v>
      </c>
      <c r="G18" s="42">
        <v>0</v>
      </c>
      <c r="H18" s="41">
        <v>0</v>
      </c>
      <c r="I18" s="41">
        <v>630</v>
      </c>
      <c r="J18" s="41">
        <f>E18*0.41</f>
        <v>258.3</v>
      </c>
      <c r="K18" s="40">
        <f>15/0.9+15/0.9</f>
        <v>33.333333333333336</v>
      </c>
      <c r="L18" s="40">
        <f>1/0.9</f>
        <v>1.1111111111111112</v>
      </c>
      <c r="M18" s="40">
        <f t="shared" si="0"/>
        <v>338.3666666666667</v>
      </c>
      <c r="N18" s="40">
        <f>I18-J18-L18-K18-150</f>
        <v>187.2555555555556</v>
      </c>
      <c r="O18" s="17"/>
    </row>
    <row r="19" spans="1:15" s="18" customFormat="1" ht="30">
      <c r="A19" s="41">
        <f t="shared" si="2"/>
        <v>15</v>
      </c>
      <c r="B19" s="41" t="s">
        <v>36</v>
      </c>
      <c r="C19" s="39" t="s">
        <v>91</v>
      </c>
      <c r="D19" s="39" t="s">
        <v>7</v>
      </c>
      <c r="E19" s="41">
        <v>400</v>
      </c>
      <c r="F19" s="41">
        <v>0</v>
      </c>
      <c r="G19" s="41">
        <v>0</v>
      </c>
      <c r="H19" s="41">
        <v>0</v>
      </c>
      <c r="I19" s="41">
        <v>400</v>
      </c>
      <c r="J19" s="41">
        <v>0</v>
      </c>
      <c r="K19" s="40">
        <v>0</v>
      </c>
      <c r="L19" s="40">
        <v>0</v>
      </c>
      <c r="M19" s="40">
        <f aca="true" t="shared" si="3" ref="M19:M67">I19-J19-K19</f>
        <v>400</v>
      </c>
      <c r="N19" s="40">
        <f>I19-J19-L19-K19</f>
        <v>400</v>
      </c>
      <c r="O19" s="17"/>
    </row>
    <row r="20" spans="1:15" s="18" customFormat="1" ht="30">
      <c r="A20" s="41">
        <f t="shared" si="2"/>
        <v>16</v>
      </c>
      <c r="B20" s="41" t="s">
        <v>37</v>
      </c>
      <c r="C20" s="39" t="s">
        <v>91</v>
      </c>
      <c r="D20" s="39" t="s">
        <v>7</v>
      </c>
      <c r="E20" s="41">
        <v>100</v>
      </c>
      <c r="F20" s="41">
        <v>0</v>
      </c>
      <c r="G20" s="41">
        <v>0</v>
      </c>
      <c r="H20" s="41">
        <v>0</v>
      </c>
      <c r="I20" s="41">
        <v>100</v>
      </c>
      <c r="J20" s="41">
        <f>E20*0.1</f>
        <v>10</v>
      </c>
      <c r="K20" s="40">
        <f>20/0.9+10/0.9</f>
        <v>33.33333333333333</v>
      </c>
      <c r="L20" s="40">
        <f>10/0.9+15/0.9</f>
        <v>27.77777777777778</v>
      </c>
      <c r="M20" s="40">
        <f t="shared" si="3"/>
        <v>56.66666666666667</v>
      </c>
      <c r="N20" s="40">
        <f>I20-J20-L20-K20</f>
        <v>28.888888888888893</v>
      </c>
      <c r="O20" s="17"/>
    </row>
    <row r="21" spans="1:15" s="18" customFormat="1" ht="30">
      <c r="A21" s="41">
        <f t="shared" si="2"/>
        <v>17</v>
      </c>
      <c r="B21" s="41" t="s">
        <v>38</v>
      </c>
      <c r="C21" s="39" t="s">
        <v>91</v>
      </c>
      <c r="D21" s="39" t="s">
        <v>7</v>
      </c>
      <c r="E21" s="41">
        <v>400</v>
      </c>
      <c r="F21" s="41">
        <v>0</v>
      </c>
      <c r="G21" s="41">
        <v>0</v>
      </c>
      <c r="H21" s="41">
        <v>0</v>
      </c>
      <c r="I21" s="41">
        <v>400</v>
      </c>
      <c r="J21" s="41">
        <f>E21*0.62</f>
        <v>248</v>
      </c>
      <c r="K21" s="40">
        <f>10/0.9+15/0.9</f>
        <v>27.77777777777778</v>
      </c>
      <c r="L21" s="40">
        <f>46/0.9+7.5/0.9</f>
        <v>59.44444444444444</v>
      </c>
      <c r="M21" s="40">
        <f t="shared" si="3"/>
        <v>124.22222222222223</v>
      </c>
      <c r="N21" s="40">
        <f>I21-J21-L21-K21</f>
        <v>64.77777777777777</v>
      </c>
      <c r="O21" s="17"/>
    </row>
    <row r="22" spans="1:15" s="18" customFormat="1" ht="30">
      <c r="A22" s="41">
        <f t="shared" si="2"/>
        <v>18</v>
      </c>
      <c r="B22" s="41" t="s">
        <v>39</v>
      </c>
      <c r="C22" s="39" t="s">
        <v>91</v>
      </c>
      <c r="D22" s="39" t="s">
        <v>7</v>
      </c>
      <c r="E22" s="41">
        <v>250</v>
      </c>
      <c r="F22" s="41">
        <v>0</v>
      </c>
      <c r="G22" s="41">
        <v>0</v>
      </c>
      <c r="H22" s="41">
        <v>0</v>
      </c>
      <c r="I22" s="41">
        <v>250</v>
      </c>
      <c r="J22" s="41">
        <f>E22*0.19</f>
        <v>47.5</v>
      </c>
      <c r="K22" s="40">
        <f>10/0.9+9/0.9+15/0.9</f>
        <v>37.77777777777778</v>
      </c>
      <c r="L22" s="40">
        <f>69/0.9</f>
        <v>76.66666666666667</v>
      </c>
      <c r="M22" s="40">
        <f t="shared" si="3"/>
        <v>164.72222222222223</v>
      </c>
      <c r="N22" s="40">
        <f>I22-J22-L22-K22</f>
        <v>88.05555555555554</v>
      </c>
      <c r="O22" s="17"/>
    </row>
    <row r="23" spans="1:15" s="18" customFormat="1" ht="30">
      <c r="A23" s="41">
        <f t="shared" si="2"/>
        <v>19</v>
      </c>
      <c r="B23" s="41" t="s">
        <v>40</v>
      </c>
      <c r="C23" s="39" t="s">
        <v>91</v>
      </c>
      <c r="D23" s="39" t="s">
        <v>9</v>
      </c>
      <c r="E23" s="41">
        <v>630</v>
      </c>
      <c r="F23" s="41">
        <v>630</v>
      </c>
      <c r="G23" s="41">
        <v>0</v>
      </c>
      <c r="H23" s="41">
        <v>0</v>
      </c>
      <c r="I23" s="41">
        <f>E23*1.1</f>
        <v>693</v>
      </c>
      <c r="J23" s="41">
        <f>E23*0.06+F23*0.31</f>
        <v>233.10000000000002</v>
      </c>
      <c r="K23" s="40">
        <v>0</v>
      </c>
      <c r="L23" s="40">
        <v>0</v>
      </c>
      <c r="M23" s="40">
        <f>I23-J23-K23-150</f>
        <v>309.9</v>
      </c>
      <c r="N23" s="40">
        <f>I23-J23-L23-K23-150-150</f>
        <v>159.89999999999998</v>
      </c>
      <c r="O23" s="17"/>
    </row>
    <row r="24" spans="1:15" s="18" customFormat="1" ht="30">
      <c r="A24" s="41">
        <f t="shared" si="2"/>
        <v>20</v>
      </c>
      <c r="B24" s="41" t="s">
        <v>41</v>
      </c>
      <c r="C24" s="39" t="s">
        <v>91</v>
      </c>
      <c r="D24" s="39" t="s">
        <v>9</v>
      </c>
      <c r="E24" s="41">
        <v>250</v>
      </c>
      <c r="F24" s="41">
        <v>250</v>
      </c>
      <c r="G24" s="41">
        <v>0</v>
      </c>
      <c r="H24" s="41">
        <v>0</v>
      </c>
      <c r="I24" s="41">
        <f>E24*1.1</f>
        <v>275</v>
      </c>
      <c r="J24" s="41">
        <v>0</v>
      </c>
      <c r="K24" s="40">
        <v>0</v>
      </c>
      <c r="L24" s="40">
        <v>0</v>
      </c>
      <c r="M24" s="40">
        <f>I24-J24-K24-250</f>
        <v>25</v>
      </c>
      <c r="N24" s="40">
        <f>I24-J24-L24-K24-250</f>
        <v>25</v>
      </c>
      <c r="O24" s="17"/>
    </row>
    <row r="25" spans="1:15" s="18" customFormat="1" ht="30">
      <c r="A25" s="41">
        <f t="shared" si="2"/>
        <v>21</v>
      </c>
      <c r="B25" s="41" t="s">
        <v>42</v>
      </c>
      <c r="C25" s="39" t="s">
        <v>91</v>
      </c>
      <c r="D25" s="39" t="s">
        <v>9</v>
      </c>
      <c r="E25" s="41">
        <v>630</v>
      </c>
      <c r="F25" s="41">
        <v>0</v>
      </c>
      <c r="G25" s="41">
        <v>0</v>
      </c>
      <c r="H25" s="41">
        <v>0</v>
      </c>
      <c r="I25" s="41">
        <v>630</v>
      </c>
      <c r="J25" s="41">
        <f>E25*0.14</f>
        <v>88.2</v>
      </c>
      <c r="K25" s="40">
        <v>0</v>
      </c>
      <c r="L25" s="40">
        <v>0</v>
      </c>
      <c r="M25" s="40">
        <f>I25-J25-K25-520</f>
        <v>21.799999999999955</v>
      </c>
      <c r="N25" s="40">
        <f>I25-J25-L25-K25-520</f>
        <v>21.799999999999955</v>
      </c>
      <c r="O25" s="17"/>
    </row>
    <row r="26" spans="1:15" s="18" customFormat="1" ht="30">
      <c r="A26" s="41">
        <f t="shared" si="2"/>
        <v>22</v>
      </c>
      <c r="B26" s="41" t="s">
        <v>43</v>
      </c>
      <c r="C26" s="39" t="s">
        <v>91</v>
      </c>
      <c r="D26" s="39" t="s">
        <v>9</v>
      </c>
      <c r="E26" s="41">
        <v>160</v>
      </c>
      <c r="F26" s="41">
        <v>0</v>
      </c>
      <c r="G26" s="41">
        <v>0</v>
      </c>
      <c r="H26" s="41">
        <v>0</v>
      </c>
      <c r="I26" s="41">
        <v>160</v>
      </c>
      <c r="J26" s="41">
        <f>E26*0.13</f>
        <v>20.8</v>
      </c>
      <c r="K26" s="40">
        <f>10/0.9</f>
        <v>11.11111111111111</v>
      </c>
      <c r="L26" s="40">
        <f>40/0.9+15/0.9</f>
        <v>61.111111111111114</v>
      </c>
      <c r="M26" s="40">
        <f t="shared" si="3"/>
        <v>128.08888888888887</v>
      </c>
      <c r="N26" s="40">
        <f>I26-J26-L26-K26</f>
        <v>66.97777777777776</v>
      </c>
      <c r="O26" s="17"/>
    </row>
    <row r="27" spans="1:15" s="18" customFormat="1" ht="30">
      <c r="A27" s="41">
        <f t="shared" si="2"/>
        <v>23</v>
      </c>
      <c r="B27" s="41" t="s">
        <v>44</v>
      </c>
      <c r="C27" s="39" t="s">
        <v>91</v>
      </c>
      <c r="D27" s="39" t="s">
        <v>7</v>
      </c>
      <c r="E27" s="41">
        <v>630</v>
      </c>
      <c r="F27" s="41">
        <v>630</v>
      </c>
      <c r="G27" s="41">
        <v>0</v>
      </c>
      <c r="H27" s="41">
        <v>0</v>
      </c>
      <c r="I27" s="41">
        <f>E27*1.1</f>
        <v>693</v>
      </c>
      <c r="J27" s="41">
        <f>E27*0.36+F27*0.04</f>
        <v>251.99999999999997</v>
      </c>
      <c r="K27" s="40">
        <v>0</v>
      </c>
      <c r="L27" s="40">
        <f>3/0.9</f>
        <v>3.333333333333333</v>
      </c>
      <c r="M27" s="40">
        <f>I27-J27-K27-210</f>
        <v>231</v>
      </c>
      <c r="N27" s="40">
        <f>I27-J27-L27-K27-210</f>
        <v>227.66666666666669</v>
      </c>
      <c r="O27" s="17"/>
    </row>
    <row r="28" spans="1:15" s="18" customFormat="1" ht="30">
      <c r="A28" s="41">
        <f t="shared" si="2"/>
        <v>24</v>
      </c>
      <c r="B28" s="41" t="s">
        <v>45</v>
      </c>
      <c r="C28" s="39" t="s">
        <v>91</v>
      </c>
      <c r="D28" s="39" t="s">
        <v>7</v>
      </c>
      <c r="E28" s="41">
        <v>160</v>
      </c>
      <c r="F28" s="41">
        <v>160</v>
      </c>
      <c r="G28" s="41">
        <v>0</v>
      </c>
      <c r="H28" s="41">
        <v>0</v>
      </c>
      <c r="I28" s="41">
        <f>E28*1.1</f>
        <v>176</v>
      </c>
      <c r="J28" s="41">
        <f>E28*0.11</f>
        <v>17.6</v>
      </c>
      <c r="K28" s="40">
        <v>0</v>
      </c>
      <c r="L28" s="40">
        <v>0</v>
      </c>
      <c r="M28" s="40">
        <f>I28-J28-K28-100</f>
        <v>58.400000000000006</v>
      </c>
      <c r="N28" s="40">
        <f>I28-J28-L28-K28-100</f>
        <v>58.400000000000006</v>
      </c>
      <c r="O28" s="17"/>
    </row>
    <row r="29" spans="1:15" s="18" customFormat="1" ht="30">
      <c r="A29" s="41">
        <f t="shared" si="2"/>
        <v>25</v>
      </c>
      <c r="B29" s="41" t="s">
        <v>46</v>
      </c>
      <c r="C29" s="39" t="s">
        <v>91</v>
      </c>
      <c r="D29" s="39" t="s">
        <v>7</v>
      </c>
      <c r="E29" s="41">
        <v>250</v>
      </c>
      <c r="F29" s="41">
        <v>250</v>
      </c>
      <c r="G29" s="41">
        <v>0</v>
      </c>
      <c r="H29" s="41">
        <v>0</v>
      </c>
      <c r="I29" s="41">
        <f>E29*1.1</f>
        <v>275</v>
      </c>
      <c r="J29" s="41">
        <v>0</v>
      </c>
      <c r="K29" s="40">
        <v>0</v>
      </c>
      <c r="L29" s="40">
        <f>150/0.9</f>
        <v>166.66666666666666</v>
      </c>
      <c r="M29" s="40">
        <f>I29-J29-K29</f>
        <v>275</v>
      </c>
      <c r="N29" s="40">
        <f>I29-J29-L29-K29-150</f>
        <v>-41.66666666666666</v>
      </c>
      <c r="O29" s="17"/>
    </row>
    <row r="30" spans="1:15" s="18" customFormat="1" ht="30">
      <c r="A30" s="41">
        <f t="shared" si="2"/>
        <v>26</v>
      </c>
      <c r="B30" s="41" t="s">
        <v>47</v>
      </c>
      <c r="C30" s="39" t="s">
        <v>91</v>
      </c>
      <c r="D30" s="39" t="s">
        <v>9</v>
      </c>
      <c r="E30" s="41">
        <v>250</v>
      </c>
      <c r="F30" s="41">
        <v>0</v>
      </c>
      <c r="G30" s="41">
        <v>0</v>
      </c>
      <c r="H30" s="41">
        <v>0</v>
      </c>
      <c r="I30" s="41">
        <v>250</v>
      </c>
      <c r="J30" s="41">
        <f>E30*0.28</f>
        <v>70</v>
      </c>
      <c r="K30" s="40">
        <f>33/0.9</f>
        <v>36.666666666666664</v>
      </c>
      <c r="L30" s="40">
        <f>5/0.9+30/0.9</f>
        <v>38.88888888888889</v>
      </c>
      <c r="M30" s="40">
        <f t="shared" si="3"/>
        <v>143.33333333333334</v>
      </c>
      <c r="N30" s="40">
        <f>I30-J30-L30-K30</f>
        <v>104.44444444444446</v>
      </c>
      <c r="O30" s="17"/>
    </row>
    <row r="31" spans="1:15" s="18" customFormat="1" ht="30">
      <c r="A31" s="41">
        <f t="shared" si="2"/>
        <v>27</v>
      </c>
      <c r="B31" s="41" t="s">
        <v>48</v>
      </c>
      <c r="C31" s="39" t="s">
        <v>91</v>
      </c>
      <c r="D31" s="41" t="s">
        <v>7</v>
      </c>
      <c r="E31" s="41">
        <v>160</v>
      </c>
      <c r="F31" s="41">
        <v>0</v>
      </c>
      <c r="G31" s="41">
        <v>0</v>
      </c>
      <c r="H31" s="41">
        <v>0</v>
      </c>
      <c r="I31" s="41">
        <v>160</v>
      </c>
      <c r="J31" s="41">
        <f>E31*0.01</f>
        <v>1.6</v>
      </c>
      <c r="K31" s="40">
        <v>0</v>
      </c>
      <c r="L31" s="40">
        <f>18/0.9</f>
        <v>20</v>
      </c>
      <c r="M31" s="40">
        <f t="shared" si="3"/>
        <v>158.4</v>
      </c>
      <c r="N31" s="40">
        <f>I31-J31-L31-K31</f>
        <v>138.4</v>
      </c>
      <c r="O31" s="17"/>
    </row>
    <row r="32" spans="1:15" s="18" customFormat="1" ht="30">
      <c r="A32" s="41">
        <f t="shared" si="2"/>
        <v>28</v>
      </c>
      <c r="B32" s="41" t="s">
        <v>49</v>
      </c>
      <c r="C32" s="39" t="s">
        <v>91</v>
      </c>
      <c r="D32" s="41" t="s">
        <v>7</v>
      </c>
      <c r="E32" s="41">
        <v>250</v>
      </c>
      <c r="F32" s="41">
        <v>0</v>
      </c>
      <c r="G32" s="41">
        <v>0</v>
      </c>
      <c r="H32" s="41">
        <v>0</v>
      </c>
      <c r="I32" s="41">
        <v>250</v>
      </c>
      <c r="J32" s="41">
        <f>E32*0.14</f>
        <v>35</v>
      </c>
      <c r="K32" s="40">
        <v>0</v>
      </c>
      <c r="L32" s="40">
        <v>0</v>
      </c>
      <c r="M32" s="40">
        <f t="shared" si="3"/>
        <v>215</v>
      </c>
      <c r="N32" s="40">
        <f>I32-J32-L32-K32-90</f>
        <v>125</v>
      </c>
      <c r="O32" s="17"/>
    </row>
    <row r="33" spans="1:15" s="18" customFormat="1" ht="30">
      <c r="A33" s="41">
        <f t="shared" si="2"/>
        <v>29</v>
      </c>
      <c r="B33" s="41" t="s">
        <v>50</v>
      </c>
      <c r="C33" s="39" t="s">
        <v>91</v>
      </c>
      <c r="D33" s="39" t="s">
        <v>7</v>
      </c>
      <c r="E33" s="41">
        <v>630</v>
      </c>
      <c r="F33" s="41">
        <v>630</v>
      </c>
      <c r="G33" s="41">
        <v>0</v>
      </c>
      <c r="H33" s="41">
        <v>0</v>
      </c>
      <c r="I33" s="41">
        <f>E33*1.1</f>
        <v>693</v>
      </c>
      <c r="J33" s="41">
        <f>E33*0.14</f>
        <v>88.2</v>
      </c>
      <c r="K33" s="40">
        <f>50/0.9</f>
        <v>55.55555555555556</v>
      </c>
      <c r="L33" s="40">
        <v>0</v>
      </c>
      <c r="M33" s="40">
        <f>I33-J33-K33-541</f>
        <v>8.244444444444412</v>
      </c>
      <c r="N33" s="40">
        <f>I33-J33-L33-K33-541</f>
        <v>8.244444444444412</v>
      </c>
      <c r="O33" s="17"/>
    </row>
    <row r="34" spans="1:15" s="18" customFormat="1" ht="30">
      <c r="A34" s="41">
        <f t="shared" si="2"/>
        <v>30</v>
      </c>
      <c r="B34" s="41" t="s">
        <v>51</v>
      </c>
      <c r="C34" s="39" t="s">
        <v>91</v>
      </c>
      <c r="D34" s="39" t="s">
        <v>9</v>
      </c>
      <c r="E34" s="41">
        <v>160</v>
      </c>
      <c r="F34" s="41">
        <v>160</v>
      </c>
      <c r="G34" s="41">
        <v>0</v>
      </c>
      <c r="H34" s="41">
        <v>0</v>
      </c>
      <c r="I34" s="41">
        <f>E34*1.1</f>
        <v>176</v>
      </c>
      <c r="J34" s="41">
        <f>F34*0.04</f>
        <v>6.4</v>
      </c>
      <c r="K34" s="40">
        <v>0</v>
      </c>
      <c r="L34" s="40">
        <v>0</v>
      </c>
      <c r="M34" s="40">
        <f>I34-J34-K34-128.6</f>
        <v>41</v>
      </c>
      <c r="N34" s="40">
        <f>I34-J34-L34-K34-128.6</f>
        <v>41</v>
      </c>
      <c r="O34" s="17"/>
    </row>
    <row r="35" spans="1:15" s="18" customFormat="1" ht="30">
      <c r="A35" s="41">
        <f t="shared" si="2"/>
        <v>31</v>
      </c>
      <c r="B35" s="41" t="s">
        <v>52</v>
      </c>
      <c r="C35" s="39" t="s">
        <v>91</v>
      </c>
      <c r="D35" s="39" t="s">
        <v>7</v>
      </c>
      <c r="E35" s="41">
        <v>250</v>
      </c>
      <c r="F35" s="41">
        <v>250</v>
      </c>
      <c r="G35" s="41">
        <v>0</v>
      </c>
      <c r="H35" s="41">
        <v>0</v>
      </c>
      <c r="I35" s="41">
        <f>E35*1.1</f>
        <v>275</v>
      </c>
      <c r="J35" s="41">
        <f>E35*0.17</f>
        <v>42.5</v>
      </c>
      <c r="K35" s="40">
        <v>0</v>
      </c>
      <c r="L35" s="40">
        <v>0</v>
      </c>
      <c r="M35" s="40">
        <f>I35-J35-K35-180.5</f>
        <v>52</v>
      </c>
      <c r="N35" s="40">
        <f>I35-J35-L35-K35-180.5</f>
        <v>52</v>
      </c>
      <c r="O35" s="17"/>
    </row>
    <row r="36" spans="1:15" s="18" customFormat="1" ht="30">
      <c r="A36" s="41">
        <f t="shared" si="2"/>
        <v>32</v>
      </c>
      <c r="B36" s="41" t="s">
        <v>53</v>
      </c>
      <c r="C36" s="39" t="s">
        <v>91</v>
      </c>
      <c r="D36" s="41" t="s">
        <v>7</v>
      </c>
      <c r="E36" s="41">
        <v>630</v>
      </c>
      <c r="F36" s="41">
        <v>0</v>
      </c>
      <c r="G36" s="41">
        <v>0</v>
      </c>
      <c r="H36" s="41">
        <v>0</v>
      </c>
      <c r="I36" s="41">
        <v>630</v>
      </c>
      <c r="J36" s="41">
        <f>E36*0.16</f>
        <v>100.8</v>
      </c>
      <c r="K36" s="40">
        <f>63.2/0.9</f>
        <v>70.22222222222223</v>
      </c>
      <c r="L36" s="40">
        <f>3.2/0.9+6.2/0.9+3.2/0.9+400+15/0.9</f>
        <v>430.6666666666667</v>
      </c>
      <c r="M36" s="40">
        <f t="shared" si="3"/>
        <v>458.9777777777778</v>
      </c>
      <c r="N36" s="40">
        <f>I36-J36-L36-K36</f>
        <v>28.31111111111113</v>
      </c>
      <c r="O36" s="17"/>
    </row>
    <row r="37" spans="1:15" s="18" customFormat="1" ht="30">
      <c r="A37" s="41">
        <f t="shared" si="2"/>
        <v>33</v>
      </c>
      <c r="B37" s="41" t="s">
        <v>54</v>
      </c>
      <c r="C37" s="39" t="s">
        <v>91</v>
      </c>
      <c r="D37" s="41" t="s">
        <v>7</v>
      </c>
      <c r="E37" s="41">
        <v>630</v>
      </c>
      <c r="F37" s="41">
        <v>630</v>
      </c>
      <c r="G37" s="41">
        <v>0</v>
      </c>
      <c r="H37" s="41">
        <v>0</v>
      </c>
      <c r="I37" s="41">
        <f>1200</f>
        <v>1200</v>
      </c>
      <c r="J37" s="41">
        <f>E37*0.37+F37*0.68</f>
        <v>661.5</v>
      </c>
      <c r="K37" s="40">
        <f>45/0.9</f>
        <v>50</v>
      </c>
      <c r="L37" s="40">
        <f>150/0.9+15/0.9</f>
        <v>183.33333333333331</v>
      </c>
      <c r="M37" s="40">
        <f t="shared" si="3"/>
        <v>488.5</v>
      </c>
      <c r="N37" s="40">
        <f>I37-J37-L37-K37-300</f>
        <v>5.166666666666686</v>
      </c>
      <c r="O37" s="17"/>
    </row>
    <row r="38" spans="1:15" s="18" customFormat="1" ht="30">
      <c r="A38" s="41">
        <f t="shared" si="2"/>
        <v>34</v>
      </c>
      <c r="B38" s="41" t="s">
        <v>55</v>
      </c>
      <c r="C38" s="39" t="s">
        <v>91</v>
      </c>
      <c r="D38" s="41" t="s">
        <v>7</v>
      </c>
      <c r="E38" s="41">
        <v>250</v>
      </c>
      <c r="F38" s="41">
        <v>0</v>
      </c>
      <c r="G38" s="41">
        <v>0</v>
      </c>
      <c r="H38" s="41">
        <v>0</v>
      </c>
      <c r="I38" s="41">
        <v>250</v>
      </c>
      <c r="J38" s="41">
        <f>E38*0.32</f>
        <v>80</v>
      </c>
      <c r="K38" s="40">
        <v>0</v>
      </c>
      <c r="L38" s="40">
        <v>5.5</v>
      </c>
      <c r="M38" s="40">
        <f t="shared" si="3"/>
        <v>170</v>
      </c>
      <c r="N38" s="40">
        <f>I38-J38-L38-K38-100</f>
        <v>64.5</v>
      </c>
      <c r="O38" s="17"/>
    </row>
    <row r="39" spans="1:15" s="18" customFormat="1" ht="30">
      <c r="A39" s="41">
        <f t="shared" si="2"/>
        <v>35</v>
      </c>
      <c r="B39" s="41" t="s">
        <v>56</v>
      </c>
      <c r="C39" s="39" t="s">
        <v>91</v>
      </c>
      <c r="D39" s="41" t="s">
        <v>7</v>
      </c>
      <c r="E39" s="41">
        <v>630</v>
      </c>
      <c r="F39" s="41">
        <v>630</v>
      </c>
      <c r="G39" s="41">
        <v>0</v>
      </c>
      <c r="H39" s="41">
        <v>0</v>
      </c>
      <c r="I39" s="41">
        <f aca="true" t="shared" si="4" ref="I39:I45">E39*1.1</f>
        <v>693</v>
      </c>
      <c r="J39" s="41">
        <f>E39*0.27+F39*0.23</f>
        <v>315</v>
      </c>
      <c r="K39" s="40">
        <f>5/0.9</f>
        <v>5.555555555555555</v>
      </c>
      <c r="L39" s="40">
        <v>5.5</v>
      </c>
      <c r="M39" s="40">
        <f>I39-J39-K39-185</f>
        <v>187.44444444444446</v>
      </c>
      <c r="N39" s="40">
        <f>I39-J39-L39-K39-185</f>
        <v>181.94444444444446</v>
      </c>
      <c r="O39" s="17"/>
    </row>
    <row r="40" spans="1:15" s="18" customFormat="1" ht="30">
      <c r="A40" s="41">
        <f t="shared" si="2"/>
        <v>36</v>
      </c>
      <c r="B40" s="41" t="s">
        <v>57</v>
      </c>
      <c r="C40" s="39" t="s">
        <v>91</v>
      </c>
      <c r="D40" s="41" t="s">
        <v>7</v>
      </c>
      <c r="E40" s="41">
        <v>630</v>
      </c>
      <c r="F40" s="41">
        <v>630</v>
      </c>
      <c r="G40" s="41">
        <v>0</v>
      </c>
      <c r="H40" s="41">
        <v>0</v>
      </c>
      <c r="I40" s="41">
        <f t="shared" si="4"/>
        <v>693</v>
      </c>
      <c r="J40" s="41">
        <f>E40*0.12+F40*0.29</f>
        <v>258.29999999999995</v>
      </c>
      <c r="K40" s="40">
        <v>0</v>
      </c>
      <c r="L40" s="40">
        <v>0</v>
      </c>
      <c r="M40" s="40">
        <f>I40-J40-K40-242</f>
        <v>192.70000000000005</v>
      </c>
      <c r="N40" s="40">
        <f>I40-J40-L40-K40-242</f>
        <v>192.70000000000005</v>
      </c>
      <c r="O40" s="17"/>
    </row>
    <row r="41" spans="1:15" s="18" customFormat="1" ht="24">
      <c r="A41" s="41">
        <f t="shared" si="2"/>
        <v>37</v>
      </c>
      <c r="B41" s="14" t="s">
        <v>58</v>
      </c>
      <c r="C41" s="15" t="s">
        <v>34</v>
      </c>
      <c r="D41" s="14" t="s">
        <v>7</v>
      </c>
      <c r="E41" s="14">
        <v>1000</v>
      </c>
      <c r="F41" s="14">
        <v>1000</v>
      </c>
      <c r="G41" s="14">
        <v>0</v>
      </c>
      <c r="H41" s="14">
        <v>0</v>
      </c>
      <c r="I41" s="14">
        <f>E41*1.1</f>
        <v>1100</v>
      </c>
      <c r="J41" s="14">
        <f>E41*0.16+F41*0.04</f>
        <v>200</v>
      </c>
      <c r="K41" s="24">
        <v>0</v>
      </c>
      <c r="L41" s="24">
        <f>44.4-40/0.9</f>
        <v>-0.04444444444444429</v>
      </c>
      <c r="M41" s="24">
        <f>I41-J41-K41-900</f>
        <v>0</v>
      </c>
      <c r="N41" s="24">
        <f>I41-J41-L41-K41-900</f>
        <v>0.044444444444479814</v>
      </c>
      <c r="O41" s="17"/>
    </row>
    <row r="42" spans="1:15" s="18" customFormat="1" ht="30">
      <c r="A42" s="41">
        <f t="shared" si="2"/>
        <v>38</v>
      </c>
      <c r="B42" s="41" t="s">
        <v>59</v>
      </c>
      <c r="C42" s="39" t="s">
        <v>91</v>
      </c>
      <c r="D42" s="41" t="s">
        <v>7</v>
      </c>
      <c r="E42" s="41">
        <v>1000</v>
      </c>
      <c r="F42" s="41">
        <v>1000</v>
      </c>
      <c r="G42" s="41">
        <v>0</v>
      </c>
      <c r="H42" s="41">
        <v>0</v>
      </c>
      <c r="I42" s="41">
        <f t="shared" si="4"/>
        <v>1100</v>
      </c>
      <c r="J42" s="41">
        <f>E42*0.13+F42*0.12</f>
        <v>250</v>
      </c>
      <c r="K42" s="40">
        <v>0</v>
      </c>
      <c r="L42" s="24">
        <f>44.4-40/0.9</f>
        <v>-0.04444444444444429</v>
      </c>
      <c r="M42" s="40">
        <f>I42-J42-K42-850</f>
        <v>0</v>
      </c>
      <c r="N42" s="40">
        <f>I42-J42-L42-K42-850</f>
        <v>0.044444444444479814</v>
      </c>
      <c r="O42" s="17"/>
    </row>
    <row r="43" spans="1:15" s="18" customFormat="1" ht="30">
      <c r="A43" s="41">
        <f t="shared" si="2"/>
        <v>39</v>
      </c>
      <c r="B43" s="41" t="s">
        <v>103</v>
      </c>
      <c r="C43" s="39" t="s">
        <v>91</v>
      </c>
      <c r="D43" s="41" t="s">
        <v>7</v>
      </c>
      <c r="E43" s="41">
        <v>1000</v>
      </c>
      <c r="F43" s="41">
        <v>1000</v>
      </c>
      <c r="G43" s="41">
        <v>0</v>
      </c>
      <c r="H43" s="41">
        <v>0</v>
      </c>
      <c r="I43" s="41">
        <f>E43*1.1</f>
        <v>1100</v>
      </c>
      <c r="J43" s="41">
        <f>E43*0.16</f>
        <v>160</v>
      </c>
      <c r="K43" s="40">
        <v>0</v>
      </c>
      <c r="L43" s="24">
        <f>44.4-40/0.9</f>
        <v>-0.04444444444444429</v>
      </c>
      <c r="M43" s="40">
        <f>I43-J43-K43-940</f>
        <v>0</v>
      </c>
      <c r="N43" s="40">
        <f>I43-J43-L43-K43-940</f>
        <v>0.044444444444479814</v>
      </c>
      <c r="O43" s="17"/>
    </row>
    <row r="44" spans="1:15" s="18" customFormat="1" ht="30">
      <c r="A44" s="41">
        <f t="shared" si="2"/>
        <v>40</v>
      </c>
      <c r="B44" s="41" t="s">
        <v>60</v>
      </c>
      <c r="C44" s="39" t="s">
        <v>91</v>
      </c>
      <c r="D44" s="41" t="s">
        <v>7</v>
      </c>
      <c r="E44" s="41">
        <v>250</v>
      </c>
      <c r="F44" s="41">
        <v>250</v>
      </c>
      <c r="G44" s="41">
        <v>0</v>
      </c>
      <c r="H44" s="41">
        <v>0</v>
      </c>
      <c r="I44" s="41">
        <f t="shared" si="4"/>
        <v>275</v>
      </c>
      <c r="J44" s="41">
        <f>E44*0.14+F44*0.11</f>
        <v>62.5</v>
      </c>
      <c r="K44" s="40">
        <v>0</v>
      </c>
      <c r="L44" s="40">
        <f>55/0.9</f>
        <v>61.11111111111111</v>
      </c>
      <c r="M44" s="40">
        <f>I44-J44-K44-187.5</f>
        <v>25</v>
      </c>
      <c r="N44" s="40">
        <f>I44-J44-L44-K44-187.5</f>
        <v>-36.111111111111114</v>
      </c>
      <c r="O44" s="17"/>
    </row>
    <row r="45" spans="1:15" s="18" customFormat="1" ht="30">
      <c r="A45" s="41">
        <f t="shared" si="2"/>
        <v>41</v>
      </c>
      <c r="B45" s="41" t="s">
        <v>61</v>
      </c>
      <c r="C45" s="39" t="s">
        <v>91</v>
      </c>
      <c r="D45" s="41" t="s">
        <v>9</v>
      </c>
      <c r="E45" s="41">
        <v>250</v>
      </c>
      <c r="F45" s="41">
        <v>250</v>
      </c>
      <c r="G45" s="41">
        <v>0</v>
      </c>
      <c r="H45" s="41">
        <v>0</v>
      </c>
      <c r="I45" s="41">
        <f t="shared" si="4"/>
        <v>275</v>
      </c>
      <c r="J45" s="41">
        <f>E45*0.06+F45*0.1</f>
        <v>40</v>
      </c>
      <c r="K45" s="40">
        <v>0</v>
      </c>
      <c r="L45" s="40">
        <f>149/0.9+149/0.9+149/0.9</f>
        <v>496.66666666666663</v>
      </c>
      <c r="M45" s="40">
        <f t="shared" si="3"/>
        <v>235</v>
      </c>
      <c r="N45" s="40">
        <f>I45-J45-L45-K45</f>
        <v>-261.66666666666663</v>
      </c>
      <c r="O45" s="39" t="s">
        <v>113</v>
      </c>
    </row>
    <row r="46" spans="1:15" s="18" customFormat="1" ht="30">
      <c r="A46" s="41">
        <f t="shared" si="2"/>
        <v>42</v>
      </c>
      <c r="B46" s="41" t="s">
        <v>62</v>
      </c>
      <c r="C46" s="39" t="s">
        <v>91</v>
      </c>
      <c r="D46" s="41" t="s">
        <v>9</v>
      </c>
      <c r="E46" s="41">
        <v>250</v>
      </c>
      <c r="F46" s="41">
        <v>0</v>
      </c>
      <c r="G46" s="41">
        <v>0</v>
      </c>
      <c r="H46" s="41">
        <v>0</v>
      </c>
      <c r="I46" s="41">
        <v>250</v>
      </c>
      <c r="J46" s="41">
        <v>0</v>
      </c>
      <c r="K46" s="40">
        <v>0</v>
      </c>
      <c r="L46" s="40">
        <f>93/0.9+15/0.9+15/0.9</f>
        <v>136.66666666666666</v>
      </c>
      <c r="M46" s="40">
        <f t="shared" si="3"/>
        <v>250</v>
      </c>
      <c r="N46" s="40">
        <f>I46-J46-L46-K46</f>
        <v>113.33333333333334</v>
      </c>
      <c r="O46" s="17"/>
    </row>
    <row r="47" spans="1:15" s="18" customFormat="1" ht="30">
      <c r="A47" s="41">
        <f t="shared" si="2"/>
        <v>43</v>
      </c>
      <c r="B47" s="41" t="s">
        <v>63</v>
      </c>
      <c r="C47" s="39" t="s">
        <v>91</v>
      </c>
      <c r="D47" s="41" t="s">
        <v>7</v>
      </c>
      <c r="E47" s="41">
        <v>400</v>
      </c>
      <c r="F47" s="41">
        <v>0</v>
      </c>
      <c r="G47" s="41">
        <v>0</v>
      </c>
      <c r="H47" s="41">
        <v>0</v>
      </c>
      <c r="I47" s="41">
        <v>400</v>
      </c>
      <c r="J47" s="41">
        <f>E47*0.1</f>
        <v>40</v>
      </c>
      <c r="K47" s="40">
        <f>15/0.9</f>
        <v>16.666666666666668</v>
      </c>
      <c r="L47" s="40">
        <f>70/0.9</f>
        <v>77.77777777777777</v>
      </c>
      <c r="M47" s="40">
        <f t="shared" si="3"/>
        <v>343.3333333333333</v>
      </c>
      <c r="N47" s="40">
        <f>I47-J47-L47-K47-150</f>
        <v>115.55555555555554</v>
      </c>
      <c r="O47" s="17"/>
    </row>
    <row r="48" spans="1:15" s="18" customFormat="1" ht="30">
      <c r="A48" s="41">
        <f t="shared" si="2"/>
        <v>44</v>
      </c>
      <c r="B48" s="41" t="s">
        <v>64</v>
      </c>
      <c r="C48" s="39" t="s">
        <v>91</v>
      </c>
      <c r="D48" s="41" t="s">
        <v>7</v>
      </c>
      <c r="E48" s="41">
        <v>100</v>
      </c>
      <c r="F48" s="41">
        <v>0</v>
      </c>
      <c r="G48" s="41">
        <v>0</v>
      </c>
      <c r="H48" s="41">
        <v>0</v>
      </c>
      <c r="I48" s="41">
        <v>100</v>
      </c>
      <c r="J48" s="41">
        <f>E48*0.52</f>
        <v>52</v>
      </c>
      <c r="K48" s="40">
        <v>0</v>
      </c>
      <c r="L48" s="40">
        <f>15/0.9+45/0.9+15/0.9</f>
        <v>83.33333333333334</v>
      </c>
      <c r="M48" s="40">
        <f t="shared" si="3"/>
        <v>48</v>
      </c>
      <c r="N48" s="40">
        <f>I48-J48-L48-K48</f>
        <v>-35.33333333333334</v>
      </c>
      <c r="O48" s="17"/>
    </row>
    <row r="49" spans="1:15" s="18" customFormat="1" ht="30">
      <c r="A49" s="41">
        <f t="shared" si="2"/>
        <v>45</v>
      </c>
      <c r="B49" s="41" t="s">
        <v>65</v>
      </c>
      <c r="C49" s="39" t="s">
        <v>91</v>
      </c>
      <c r="D49" s="41" t="s">
        <v>7</v>
      </c>
      <c r="E49" s="41">
        <v>250</v>
      </c>
      <c r="F49" s="41">
        <v>0</v>
      </c>
      <c r="G49" s="41">
        <v>0</v>
      </c>
      <c r="H49" s="41">
        <v>0</v>
      </c>
      <c r="I49" s="41">
        <v>250</v>
      </c>
      <c r="J49" s="41">
        <f>E49*0.08</f>
        <v>20</v>
      </c>
      <c r="K49" s="40">
        <f>30/0.9</f>
        <v>33.333333333333336</v>
      </c>
      <c r="L49" s="40">
        <f>88/0.9+30/0.9+30/0.9</f>
        <v>164.44444444444446</v>
      </c>
      <c r="M49" s="40">
        <f t="shared" si="3"/>
        <v>196.66666666666666</v>
      </c>
      <c r="N49" s="40">
        <f>I49-J49-L49-K49</f>
        <v>32.22222222222221</v>
      </c>
      <c r="O49" s="17"/>
    </row>
    <row r="50" spans="1:15" s="18" customFormat="1" ht="30">
      <c r="A50" s="41">
        <f t="shared" si="2"/>
        <v>46</v>
      </c>
      <c r="B50" s="41" t="s">
        <v>66</v>
      </c>
      <c r="C50" s="39" t="s">
        <v>91</v>
      </c>
      <c r="D50" s="41" t="s">
        <v>7</v>
      </c>
      <c r="E50" s="41">
        <v>250</v>
      </c>
      <c r="F50" s="41">
        <v>0</v>
      </c>
      <c r="G50" s="41">
        <v>0</v>
      </c>
      <c r="H50" s="41">
        <v>0</v>
      </c>
      <c r="I50" s="41">
        <v>250</v>
      </c>
      <c r="J50" s="41">
        <f>E50*0.06</f>
        <v>15</v>
      </c>
      <c r="K50" s="40">
        <f>45/0.9</f>
        <v>50</v>
      </c>
      <c r="L50" s="40">
        <f>50/0.9</f>
        <v>55.55555555555556</v>
      </c>
      <c r="M50" s="40">
        <f t="shared" si="3"/>
        <v>185</v>
      </c>
      <c r="N50" s="40">
        <f>I50-J50-L50-K50-100</f>
        <v>29.444444444444457</v>
      </c>
      <c r="O50" s="17"/>
    </row>
    <row r="51" spans="1:15" s="18" customFormat="1" ht="30">
      <c r="A51" s="41">
        <f t="shared" si="2"/>
        <v>47</v>
      </c>
      <c r="B51" s="41" t="s">
        <v>67</v>
      </c>
      <c r="C51" s="39" t="s">
        <v>91</v>
      </c>
      <c r="D51" s="17" t="s">
        <v>7</v>
      </c>
      <c r="E51" s="41">
        <v>400</v>
      </c>
      <c r="F51" s="41">
        <v>0</v>
      </c>
      <c r="G51" s="41">
        <v>0</v>
      </c>
      <c r="H51" s="41">
        <v>0</v>
      </c>
      <c r="I51" s="41">
        <v>400</v>
      </c>
      <c r="J51" s="41">
        <f>E51*0.14</f>
        <v>56.00000000000001</v>
      </c>
      <c r="K51" s="40">
        <v>0</v>
      </c>
      <c r="L51" s="40">
        <v>0</v>
      </c>
      <c r="M51" s="40">
        <f t="shared" si="3"/>
        <v>344</v>
      </c>
      <c r="N51" s="40">
        <f>I51-J51-L51-K51-300</f>
        <v>44</v>
      </c>
      <c r="O51" s="17"/>
    </row>
    <row r="52" spans="1:15" s="18" customFormat="1" ht="30">
      <c r="A52" s="41">
        <f t="shared" si="2"/>
        <v>48</v>
      </c>
      <c r="B52" s="41" t="s">
        <v>68</v>
      </c>
      <c r="C52" s="39" t="s">
        <v>91</v>
      </c>
      <c r="D52" s="41" t="s">
        <v>9</v>
      </c>
      <c r="E52" s="41">
        <v>250</v>
      </c>
      <c r="F52" s="41">
        <v>250</v>
      </c>
      <c r="G52" s="41">
        <v>0</v>
      </c>
      <c r="H52" s="41">
        <v>0</v>
      </c>
      <c r="I52" s="41">
        <f>E52*1.1</f>
        <v>275</v>
      </c>
      <c r="J52" s="41">
        <f>E52*0.21</f>
        <v>52.5</v>
      </c>
      <c r="K52" s="40">
        <v>0</v>
      </c>
      <c r="L52" s="40">
        <v>0</v>
      </c>
      <c r="M52" s="40">
        <f>I52-J52-K52-150</f>
        <v>72.5</v>
      </c>
      <c r="N52" s="40">
        <f>I52-J52-L52-K52-150</f>
        <v>72.5</v>
      </c>
      <c r="O52" s="17"/>
    </row>
    <row r="53" spans="1:15" s="18" customFormat="1" ht="30">
      <c r="A53" s="41">
        <f t="shared" si="2"/>
        <v>49</v>
      </c>
      <c r="B53" s="41" t="s">
        <v>69</v>
      </c>
      <c r="C53" s="39" t="s">
        <v>91</v>
      </c>
      <c r="D53" s="41" t="s">
        <v>7</v>
      </c>
      <c r="E53" s="41">
        <v>250</v>
      </c>
      <c r="F53" s="41">
        <v>0</v>
      </c>
      <c r="G53" s="41">
        <v>0</v>
      </c>
      <c r="H53" s="41">
        <v>0</v>
      </c>
      <c r="I53" s="41">
        <v>250</v>
      </c>
      <c r="J53" s="41">
        <f>E53*0.14</f>
        <v>35</v>
      </c>
      <c r="K53" s="40">
        <f>70/0.9</f>
        <v>77.77777777777777</v>
      </c>
      <c r="L53" s="40">
        <f>320/0.9+6/0.9+15/0.9</f>
        <v>378.8888888888889</v>
      </c>
      <c r="M53" s="40">
        <f t="shared" si="3"/>
        <v>137.22222222222223</v>
      </c>
      <c r="N53" s="40">
        <f>I53-J53-L53-K53</f>
        <v>-241.66666666666669</v>
      </c>
      <c r="O53" s="39" t="s">
        <v>113</v>
      </c>
    </row>
    <row r="54" spans="1:15" s="18" customFormat="1" ht="30">
      <c r="A54" s="41">
        <f t="shared" si="2"/>
        <v>50</v>
      </c>
      <c r="B54" s="41" t="s">
        <v>70</v>
      </c>
      <c r="C54" s="39" t="s">
        <v>91</v>
      </c>
      <c r="D54" s="41" t="s">
        <v>7</v>
      </c>
      <c r="E54" s="41">
        <v>1600</v>
      </c>
      <c r="F54" s="41">
        <v>1600</v>
      </c>
      <c r="G54" s="41">
        <v>0</v>
      </c>
      <c r="H54" s="41">
        <v>0</v>
      </c>
      <c r="I54" s="41">
        <f>E54*1.1</f>
        <v>1760.0000000000002</v>
      </c>
      <c r="J54" s="41">
        <f>E54*0.21+F54*0.06</f>
        <v>432</v>
      </c>
      <c r="K54" s="40">
        <v>0</v>
      </c>
      <c r="L54" s="40">
        <f>1600-1600</f>
        <v>0</v>
      </c>
      <c r="M54" s="40">
        <f>I54-J54-K54-1168</f>
        <v>160.00000000000023</v>
      </c>
      <c r="N54" s="40">
        <f>I54-J54-L54-K54-1168</f>
        <v>160.00000000000023</v>
      </c>
      <c r="O54" s="17"/>
    </row>
    <row r="55" spans="1:15" s="18" customFormat="1" ht="30">
      <c r="A55" s="41">
        <f t="shared" si="2"/>
        <v>51</v>
      </c>
      <c r="B55" s="41" t="s">
        <v>71</v>
      </c>
      <c r="C55" s="39" t="s">
        <v>91</v>
      </c>
      <c r="D55" s="41" t="s">
        <v>9</v>
      </c>
      <c r="E55" s="41">
        <v>100</v>
      </c>
      <c r="F55" s="41">
        <v>0</v>
      </c>
      <c r="G55" s="41">
        <v>0</v>
      </c>
      <c r="H55" s="41">
        <v>0</v>
      </c>
      <c r="I55" s="41">
        <v>100</v>
      </c>
      <c r="J55" s="41">
        <f>E55*0.28</f>
        <v>28.000000000000004</v>
      </c>
      <c r="K55" s="40">
        <f>15/0.9+30/0.9</f>
        <v>50</v>
      </c>
      <c r="L55" s="40">
        <f>15/0.9</f>
        <v>16.666666666666668</v>
      </c>
      <c r="M55" s="40">
        <f t="shared" si="3"/>
        <v>22</v>
      </c>
      <c r="N55" s="40">
        <f>I55-J55-L55-K55</f>
        <v>5.333333333333329</v>
      </c>
      <c r="O55" s="17"/>
    </row>
    <row r="56" spans="1:15" s="18" customFormat="1" ht="30">
      <c r="A56" s="41">
        <f t="shared" si="2"/>
        <v>52</v>
      </c>
      <c r="B56" s="41" t="s">
        <v>72</v>
      </c>
      <c r="C56" s="39" t="s">
        <v>91</v>
      </c>
      <c r="D56" s="41" t="s">
        <v>7</v>
      </c>
      <c r="E56" s="41">
        <v>1250</v>
      </c>
      <c r="F56" s="41">
        <v>1250</v>
      </c>
      <c r="G56" s="41">
        <v>0</v>
      </c>
      <c r="H56" s="41">
        <v>0</v>
      </c>
      <c r="I56" s="41">
        <f>E56*1.1</f>
        <v>1375</v>
      </c>
      <c r="J56" s="41">
        <f>E56*0.25+F56*0.25</f>
        <v>625</v>
      </c>
      <c r="K56" s="40">
        <v>0</v>
      </c>
      <c r="L56" s="40">
        <v>0</v>
      </c>
      <c r="M56" s="40">
        <f>I56-J56-K56-750</f>
        <v>0</v>
      </c>
      <c r="N56" s="40">
        <f>I56-J56-L56-K56-750</f>
        <v>0</v>
      </c>
      <c r="O56" s="17"/>
    </row>
    <row r="57" spans="1:15" s="18" customFormat="1" ht="30">
      <c r="A57" s="41">
        <f t="shared" si="2"/>
        <v>53</v>
      </c>
      <c r="B57" s="41" t="s">
        <v>73</v>
      </c>
      <c r="C57" s="39" t="s">
        <v>91</v>
      </c>
      <c r="D57" s="41" t="s">
        <v>7</v>
      </c>
      <c r="E57" s="41">
        <v>630</v>
      </c>
      <c r="F57" s="41">
        <v>630</v>
      </c>
      <c r="G57" s="41">
        <v>0</v>
      </c>
      <c r="H57" s="41">
        <v>0</v>
      </c>
      <c r="I57" s="41">
        <f>E57*1.1</f>
        <v>693</v>
      </c>
      <c r="J57" s="41">
        <f>E57*0.12</f>
        <v>75.6</v>
      </c>
      <c r="K57" s="40">
        <f>150/0.9</f>
        <v>166.66666666666666</v>
      </c>
      <c r="L57" s="40">
        <f>75/0.9</f>
        <v>83.33333333333333</v>
      </c>
      <c r="M57" s="40">
        <f>I57-J57-K57-455</f>
        <v>-4.2666666666666515</v>
      </c>
      <c r="N57" s="40">
        <f>I57-J57-L57-K57-455</f>
        <v>-87.60000000000002</v>
      </c>
      <c r="O57" s="17"/>
    </row>
    <row r="58" spans="1:15" s="18" customFormat="1" ht="30">
      <c r="A58" s="41">
        <f t="shared" si="2"/>
        <v>54</v>
      </c>
      <c r="B58" s="41" t="s">
        <v>74</v>
      </c>
      <c r="C58" s="39" t="s">
        <v>91</v>
      </c>
      <c r="D58" s="41" t="s">
        <v>7</v>
      </c>
      <c r="E58" s="41">
        <v>250</v>
      </c>
      <c r="F58" s="41">
        <v>0</v>
      </c>
      <c r="G58" s="41">
        <v>0</v>
      </c>
      <c r="H58" s="41">
        <v>0</v>
      </c>
      <c r="I58" s="41">
        <v>250</v>
      </c>
      <c r="J58" s="41">
        <f>E58*0.1</f>
        <v>25</v>
      </c>
      <c r="K58" s="40">
        <f>90/0.9</f>
        <v>100</v>
      </c>
      <c r="L58" s="40">
        <f>60/0.9+15/0.9</f>
        <v>83.33333333333334</v>
      </c>
      <c r="M58" s="40">
        <f t="shared" si="3"/>
        <v>125</v>
      </c>
      <c r="N58" s="40">
        <f>I58-J58-L58-K58</f>
        <v>41.66666666666666</v>
      </c>
      <c r="O58" s="17"/>
    </row>
    <row r="59" spans="1:15" s="18" customFormat="1" ht="30">
      <c r="A59" s="41">
        <f t="shared" si="2"/>
        <v>55</v>
      </c>
      <c r="B59" s="41" t="s">
        <v>75</v>
      </c>
      <c r="C59" s="39" t="s">
        <v>91</v>
      </c>
      <c r="D59" s="41" t="s">
        <v>7</v>
      </c>
      <c r="E59" s="41">
        <v>400</v>
      </c>
      <c r="F59" s="41">
        <v>400</v>
      </c>
      <c r="G59" s="41">
        <v>0</v>
      </c>
      <c r="H59" s="41">
        <v>0</v>
      </c>
      <c r="I59" s="41">
        <f>E59*1.1</f>
        <v>440.00000000000006</v>
      </c>
      <c r="J59" s="41">
        <f>E59*0.12+F59*0.03</f>
        <v>60</v>
      </c>
      <c r="K59" s="40">
        <v>0</v>
      </c>
      <c r="L59" s="40">
        <v>0</v>
      </c>
      <c r="M59" s="40">
        <f>I59-J59-K59-314/0.9</f>
        <v>31.1111111111112</v>
      </c>
      <c r="N59" s="40">
        <f>I59-J59-L59-K59-314/0.9</f>
        <v>31.1111111111112</v>
      </c>
      <c r="O59" s="17"/>
    </row>
    <row r="60" spans="1:15" s="18" customFormat="1" ht="30">
      <c r="A60" s="41">
        <f t="shared" si="2"/>
        <v>56</v>
      </c>
      <c r="B60" s="41" t="s">
        <v>76</v>
      </c>
      <c r="C60" s="39" t="s">
        <v>91</v>
      </c>
      <c r="D60" s="41" t="s">
        <v>9</v>
      </c>
      <c r="E60" s="41">
        <v>250</v>
      </c>
      <c r="F60" s="41">
        <v>250</v>
      </c>
      <c r="G60" s="41">
        <v>0</v>
      </c>
      <c r="H60" s="41">
        <v>0</v>
      </c>
      <c r="I60" s="41">
        <f>E60*1.1</f>
        <v>275</v>
      </c>
      <c r="J60" s="41">
        <f>E60*0.14+F60*0.07</f>
        <v>52.5</v>
      </c>
      <c r="K60" s="40">
        <v>0</v>
      </c>
      <c r="L60" s="40">
        <v>0</v>
      </c>
      <c r="M60" s="40">
        <f>I60-J60-K60-175</f>
        <v>47.5</v>
      </c>
      <c r="N60" s="40">
        <f>I60-J60-L60-K60-175</f>
        <v>47.5</v>
      </c>
      <c r="O60" s="17"/>
    </row>
    <row r="61" spans="1:15" s="18" customFormat="1" ht="30">
      <c r="A61" s="41">
        <f t="shared" si="2"/>
        <v>57</v>
      </c>
      <c r="B61" s="41" t="s">
        <v>77</v>
      </c>
      <c r="C61" s="39" t="s">
        <v>91</v>
      </c>
      <c r="D61" s="41" t="s">
        <v>7</v>
      </c>
      <c r="E61" s="41">
        <v>250</v>
      </c>
      <c r="F61" s="41">
        <v>0</v>
      </c>
      <c r="G61" s="41">
        <v>0</v>
      </c>
      <c r="H61" s="41">
        <v>0</v>
      </c>
      <c r="I61" s="41">
        <v>250</v>
      </c>
      <c r="J61" s="41">
        <f>E61*0.3</f>
        <v>75</v>
      </c>
      <c r="K61" s="40">
        <f>23/0.9+78/0.9+15/0.9</f>
        <v>128.88888888888889</v>
      </c>
      <c r="L61" s="40">
        <f>20/0.9+15/0.9+15/0.9+15/0.9+15/0.9</f>
        <v>88.8888888888889</v>
      </c>
      <c r="M61" s="40">
        <f t="shared" si="3"/>
        <v>46.111111111111114</v>
      </c>
      <c r="N61" s="40">
        <f aca="true" t="shared" si="5" ref="N61:N66">I61-J61-L61-K61</f>
        <v>-42.777777777777786</v>
      </c>
      <c r="O61" s="17"/>
    </row>
    <row r="62" spans="1:15" s="18" customFormat="1" ht="30">
      <c r="A62" s="41">
        <f t="shared" si="2"/>
        <v>58</v>
      </c>
      <c r="B62" s="41" t="s">
        <v>78</v>
      </c>
      <c r="C62" s="39" t="s">
        <v>91</v>
      </c>
      <c r="D62" s="41" t="s">
        <v>7</v>
      </c>
      <c r="E62" s="41">
        <v>160</v>
      </c>
      <c r="F62" s="41">
        <v>0</v>
      </c>
      <c r="G62" s="41">
        <v>0</v>
      </c>
      <c r="H62" s="41">
        <v>0</v>
      </c>
      <c r="I62" s="41">
        <v>160</v>
      </c>
      <c r="J62" s="41">
        <f>E62*0.03</f>
        <v>4.8</v>
      </c>
      <c r="K62" s="40">
        <f>35/0.9</f>
        <v>38.888888888888886</v>
      </c>
      <c r="L62" s="40">
        <f>145/0.9+15/0.9+15/0.9</f>
        <v>194.44444444444443</v>
      </c>
      <c r="M62" s="40">
        <f t="shared" si="3"/>
        <v>116.3111111111111</v>
      </c>
      <c r="N62" s="40">
        <f t="shared" si="5"/>
        <v>-78.13333333333333</v>
      </c>
      <c r="O62" s="17"/>
    </row>
    <row r="63" spans="1:15" s="18" customFormat="1" ht="30">
      <c r="A63" s="41">
        <f t="shared" si="2"/>
        <v>59</v>
      </c>
      <c r="B63" s="41" t="s">
        <v>79</v>
      </c>
      <c r="C63" s="39" t="s">
        <v>91</v>
      </c>
      <c r="D63" s="41" t="s">
        <v>7</v>
      </c>
      <c r="E63" s="41">
        <v>400</v>
      </c>
      <c r="F63" s="41">
        <v>0</v>
      </c>
      <c r="G63" s="41">
        <v>0</v>
      </c>
      <c r="H63" s="41">
        <v>0</v>
      </c>
      <c r="I63" s="41">
        <v>400</v>
      </c>
      <c r="J63" s="41">
        <f>E63*0.01</f>
        <v>4</v>
      </c>
      <c r="K63" s="40">
        <f>5/0.9</f>
        <v>5.555555555555555</v>
      </c>
      <c r="L63" s="40">
        <f>400/0.9*0.8+15/0.9</f>
        <v>372.2222222222223</v>
      </c>
      <c r="M63" s="40">
        <f>I63-J63-K63</f>
        <v>390.44444444444446</v>
      </c>
      <c r="N63" s="40">
        <f t="shared" si="5"/>
        <v>18.222222222222157</v>
      </c>
      <c r="O63" s="17"/>
    </row>
    <row r="64" spans="1:15" s="18" customFormat="1" ht="30">
      <c r="A64" s="41">
        <f t="shared" si="2"/>
        <v>60</v>
      </c>
      <c r="B64" s="41" t="s">
        <v>80</v>
      </c>
      <c r="C64" s="39" t="s">
        <v>91</v>
      </c>
      <c r="D64" s="41" t="s">
        <v>7</v>
      </c>
      <c r="E64" s="41">
        <v>630</v>
      </c>
      <c r="F64" s="41">
        <v>0</v>
      </c>
      <c r="G64" s="41">
        <v>0</v>
      </c>
      <c r="H64" s="41">
        <v>0</v>
      </c>
      <c r="I64" s="41">
        <v>630</v>
      </c>
      <c r="J64" s="41">
        <f>E64*0.06</f>
        <v>37.8</v>
      </c>
      <c r="K64" s="40">
        <v>0</v>
      </c>
      <c r="L64" s="40">
        <v>0</v>
      </c>
      <c r="M64" s="40">
        <f t="shared" si="3"/>
        <v>592.2</v>
      </c>
      <c r="N64" s="40">
        <f t="shared" si="5"/>
        <v>592.2</v>
      </c>
      <c r="O64" s="17"/>
    </row>
    <row r="65" spans="1:15" s="18" customFormat="1" ht="30">
      <c r="A65" s="41">
        <f t="shared" si="2"/>
        <v>61</v>
      </c>
      <c r="B65" s="41" t="s">
        <v>81</v>
      </c>
      <c r="C65" s="39" t="s">
        <v>91</v>
      </c>
      <c r="D65" s="41" t="s">
        <v>7</v>
      </c>
      <c r="E65" s="41">
        <v>630</v>
      </c>
      <c r="F65" s="41">
        <v>0</v>
      </c>
      <c r="G65" s="41">
        <v>0</v>
      </c>
      <c r="H65" s="41">
        <v>0</v>
      </c>
      <c r="I65" s="41">
        <v>630</v>
      </c>
      <c r="J65" s="41">
        <f>E65*0.03</f>
        <v>18.9</v>
      </c>
      <c r="K65" s="40">
        <f>45/0.9+10/0.9+15/0.9+15/0.9+10/0.9+15/0.9+15/0.9+7/0.9</f>
        <v>146.66666666666669</v>
      </c>
      <c r="L65" s="40">
        <f>280/0.9+15/0.9+15/0.9+15/0.9+15/0.9+15/0.9</f>
        <v>394.4444444444445</v>
      </c>
      <c r="M65" s="40">
        <f t="shared" si="3"/>
        <v>464.43333333333334</v>
      </c>
      <c r="N65" s="40">
        <f t="shared" si="5"/>
        <v>69.98888888888882</v>
      </c>
      <c r="O65" s="17"/>
    </row>
    <row r="66" spans="1:15" s="18" customFormat="1" ht="30">
      <c r="A66" s="41">
        <f t="shared" si="2"/>
        <v>62</v>
      </c>
      <c r="B66" s="41" t="s">
        <v>82</v>
      </c>
      <c r="C66" s="39" t="s">
        <v>91</v>
      </c>
      <c r="D66" s="41" t="s">
        <v>7</v>
      </c>
      <c r="E66" s="41">
        <v>250</v>
      </c>
      <c r="F66" s="41">
        <v>0</v>
      </c>
      <c r="G66" s="41">
        <v>0</v>
      </c>
      <c r="H66" s="41">
        <v>0</v>
      </c>
      <c r="I66" s="41">
        <v>250</v>
      </c>
      <c r="J66" s="41">
        <f>E66*0.26</f>
        <v>65</v>
      </c>
      <c r="K66" s="40">
        <f>100/0.9</f>
        <v>111.11111111111111</v>
      </c>
      <c r="L66" s="40">
        <f>132/0.9+15/0.9+25/0.9</f>
        <v>191.1111111111111</v>
      </c>
      <c r="M66" s="40">
        <f t="shared" si="3"/>
        <v>73.88888888888889</v>
      </c>
      <c r="N66" s="40">
        <f t="shared" si="5"/>
        <v>-117.2222222222222</v>
      </c>
      <c r="O66" s="17"/>
    </row>
    <row r="67" spans="1:15" s="18" customFormat="1" ht="30">
      <c r="A67" s="41">
        <f t="shared" si="2"/>
        <v>63</v>
      </c>
      <c r="B67" s="41" t="s">
        <v>83</v>
      </c>
      <c r="C67" s="39" t="s">
        <v>91</v>
      </c>
      <c r="D67" s="41" t="s">
        <v>7</v>
      </c>
      <c r="E67" s="41">
        <v>250</v>
      </c>
      <c r="F67" s="41">
        <v>0</v>
      </c>
      <c r="G67" s="41">
        <v>0</v>
      </c>
      <c r="H67" s="41">
        <v>0</v>
      </c>
      <c r="I67" s="41">
        <v>250</v>
      </c>
      <c r="J67" s="41">
        <v>0</v>
      </c>
      <c r="K67" s="40">
        <f>15/0.9+3/0.9</f>
        <v>20</v>
      </c>
      <c r="L67" s="40">
        <f>30/0.9+45/0.9+15/0.9+10/0.9+15/0.9</f>
        <v>127.7777777777778</v>
      </c>
      <c r="M67" s="40">
        <f t="shared" si="3"/>
        <v>230</v>
      </c>
      <c r="N67" s="40">
        <f>I67-J67-L67-K67</f>
        <v>102.2222222222222</v>
      </c>
      <c r="O67" s="17"/>
    </row>
    <row r="68" spans="1:15" s="18" customFormat="1" ht="30">
      <c r="A68" s="41">
        <f t="shared" si="2"/>
        <v>64</v>
      </c>
      <c r="B68" s="41" t="s">
        <v>116</v>
      </c>
      <c r="C68" s="39" t="s">
        <v>34</v>
      </c>
      <c r="D68" s="41" t="s">
        <v>7</v>
      </c>
      <c r="E68" s="41">
        <v>400</v>
      </c>
      <c r="F68" s="41">
        <v>0</v>
      </c>
      <c r="G68" s="41">
        <v>0</v>
      </c>
      <c r="H68" s="41">
        <v>0</v>
      </c>
      <c r="I68" s="41">
        <v>400</v>
      </c>
      <c r="J68" s="41">
        <v>0</v>
      </c>
      <c r="K68" s="40">
        <f>45/0.9</f>
        <v>50</v>
      </c>
      <c r="L68" s="40">
        <f>15/0.9+10/0.9</f>
        <v>27.77777777777778</v>
      </c>
      <c r="M68" s="40">
        <f>I68-J68-K68</f>
        <v>350</v>
      </c>
      <c r="N68" s="40">
        <f>I68-J68-L68-K68-100</f>
        <v>222.22222222222223</v>
      </c>
      <c r="O68" s="17"/>
    </row>
    <row r="69" spans="1:15" s="18" customFormat="1" ht="30">
      <c r="A69" s="41">
        <f t="shared" si="2"/>
        <v>65</v>
      </c>
      <c r="B69" s="41" t="s">
        <v>84</v>
      </c>
      <c r="C69" s="39" t="s">
        <v>91</v>
      </c>
      <c r="D69" s="41" t="s">
        <v>9</v>
      </c>
      <c r="E69" s="41">
        <v>400</v>
      </c>
      <c r="F69" s="41">
        <v>0</v>
      </c>
      <c r="G69" s="41">
        <v>0</v>
      </c>
      <c r="H69" s="41">
        <v>0</v>
      </c>
      <c r="I69" s="41">
        <v>400</v>
      </c>
      <c r="J69" s="41">
        <v>0</v>
      </c>
      <c r="K69" s="40">
        <f>15/0.9</f>
        <v>16.666666666666668</v>
      </c>
      <c r="L69" s="40">
        <f>15/0.9+15/0.9</f>
        <v>33.333333333333336</v>
      </c>
      <c r="M69" s="40">
        <f aca="true" t="shared" si="6" ref="M69:M74">I69-J69-K69</f>
        <v>383.3333333333333</v>
      </c>
      <c r="N69" s="40">
        <f>I69-J69-L69-K69</f>
        <v>350</v>
      </c>
      <c r="O69" s="17"/>
    </row>
    <row r="70" spans="1:16" s="18" customFormat="1" ht="30">
      <c r="A70" s="41">
        <f t="shared" si="2"/>
        <v>66</v>
      </c>
      <c r="B70" s="41" t="s">
        <v>85</v>
      </c>
      <c r="C70" s="39" t="s">
        <v>91</v>
      </c>
      <c r="D70" s="41" t="s">
        <v>7</v>
      </c>
      <c r="E70" s="41">
        <v>1000</v>
      </c>
      <c r="F70" s="41">
        <v>1000</v>
      </c>
      <c r="G70" s="41">
        <v>0</v>
      </c>
      <c r="H70" s="41">
        <v>0</v>
      </c>
      <c r="I70" s="41">
        <f>E70*1.1</f>
        <v>1100</v>
      </c>
      <c r="J70" s="41">
        <f>E70*0.14+F70*0.02</f>
        <v>160</v>
      </c>
      <c r="K70" s="40">
        <v>0</v>
      </c>
      <c r="L70" s="40">
        <v>0</v>
      </c>
      <c r="M70" s="40">
        <f t="shared" si="6"/>
        <v>940</v>
      </c>
      <c r="N70" s="40">
        <f>54.4</f>
        <v>54.4</v>
      </c>
      <c r="O70" s="17"/>
      <c r="P70" s="49"/>
    </row>
    <row r="71" spans="1:16" s="18" customFormat="1" ht="30">
      <c r="A71" s="41">
        <f aca="true" t="shared" si="7" ref="A71:A80">A70+1</f>
        <v>67</v>
      </c>
      <c r="B71" s="41" t="s">
        <v>86</v>
      </c>
      <c r="C71" s="39" t="s">
        <v>91</v>
      </c>
      <c r="D71" s="41" t="s">
        <v>7</v>
      </c>
      <c r="E71" s="41">
        <v>1000</v>
      </c>
      <c r="F71" s="41">
        <v>1000</v>
      </c>
      <c r="G71" s="41">
        <v>0</v>
      </c>
      <c r="H71" s="41">
        <v>0</v>
      </c>
      <c r="I71" s="41">
        <f>E71*1.1</f>
        <v>1100</v>
      </c>
      <c r="J71" s="41">
        <f>E71*0.14+F71*0.01</f>
        <v>150</v>
      </c>
      <c r="K71" s="40">
        <v>0</v>
      </c>
      <c r="L71" s="40">
        <v>0</v>
      </c>
      <c r="M71" s="40">
        <f t="shared" si="6"/>
        <v>950</v>
      </c>
      <c r="N71" s="40">
        <v>64.4</v>
      </c>
      <c r="O71" s="17"/>
      <c r="P71" s="49"/>
    </row>
    <row r="72" spans="1:16" s="18" customFormat="1" ht="30">
      <c r="A72" s="41">
        <f t="shared" si="7"/>
        <v>68</v>
      </c>
      <c r="B72" s="41" t="s">
        <v>87</v>
      </c>
      <c r="C72" s="39" t="s">
        <v>91</v>
      </c>
      <c r="D72" s="41" t="s">
        <v>7</v>
      </c>
      <c r="E72" s="41">
        <v>1000</v>
      </c>
      <c r="F72" s="41">
        <v>1000</v>
      </c>
      <c r="G72" s="41">
        <v>0</v>
      </c>
      <c r="H72" s="41">
        <v>0</v>
      </c>
      <c r="I72" s="41">
        <f>E72*1.1</f>
        <v>1100</v>
      </c>
      <c r="J72" s="41">
        <v>0</v>
      </c>
      <c r="K72" s="40">
        <v>0</v>
      </c>
      <c r="L72" s="40">
        <v>0</v>
      </c>
      <c r="M72" s="40">
        <f t="shared" si="6"/>
        <v>1100</v>
      </c>
      <c r="N72" s="40">
        <v>246.7</v>
      </c>
      <c r="O72" s="17"/>
      <c r="P72" s="49"/>
    </row>
    <row r="73" spans="1:15" s="18" customFormat="1" ht="30">
      <c r="A73" s="41">
        <f t="shared" si="7"/>
        <v>69</v>
      </c>
      <c r="B73" s="41" t="s">
        <v>88</v>
      </c>
      <c r="C73" s="39" t="s">
        <v>91</v>
      </c>
      <c r="D73" s="41" t="s">
        <v>7</v>
      </c>
      <c r="E73" s="41">
        <v>250</v>
      </c>
      <c r="F73" s="41">
        <v>0</v>
      </c>
      <c r="G73" s="41">
        <v>0</v>
      </c>
      <c r="H73" s="41">
        <v>0</v>
      </c>
      <c r="I73" s="41">
        <v>250</v>
      </c>
      <c r="J73" s="41">
        <f>E73*0.17</f>
        <v>42.5</v>
      </c>
      <c r="K73" s="40">
        <f>75/0.9+15/0.9</f>
        <v>100</v>
      </c>
      <c r="L73" s="40">
        <f>190/0.9+15/0.9</f>
        <v>227.77777777777777</v>
      </c>
      <c r="M73" s="40">
        <f t="shared" si="6"/>
        <v>107.5</v>
      </c>
      <c r="N73" s="40">
        <f>I73-J73-L73-K73</f>
        <v>-120.27777777777777</v>
      </c>
      <c r="O73" s="17"/>
    </row>
    <row r="74" spans="1:15" s="18" customFormat="1" ht="30">
      <c r="A74" s="41">
        <f t="shared" si="7"/>
        <v>70</v>
      </c>
      <c r="B74" s="41" t="s">
        <v>104</v>
      </c>
      <c r="C74" s="39" t="s">
        <v>91</v>
      </c>
      <c r="D74" s="41" t="s">
        <v>7</v>
      </c>
      <c r="E74" s="41">
        <v>63</v>
      </c>
      <c r="F74" s="41">
        <v>0</v>
      </c>
      <c r="G74" s="41">
        <v>0</v>
      </c>
      <c r="H74" s="41">
        <v>0</v>
      </c>
      <c r="I74" s="41">
        <f>E74</f>
        <v>63</v>
      </c>
      <c r="J74" s="41">
        <v>0</v>
      </c>
      <c r="K74" s="40">
        <f>50/0.9</f>
        <v>55.55555555555556</v>
      </c>
      <c r="L74" s="40">
        <f>55/0.9</f>
        <v>61.11111111111111</v>
      </c>
      <c r="M74" s="40">
        <f t="shared" si="6"/>
        <v>7.444444444444443</v>
      </c>
      <c r="N74" s="40">
        <f>I74-J74-L74-K74</f>
        <v>-53.666666666666664</v>
      </c>
      <c r="O74" s="17"/>
    </row>
    <row r="75" spans="1:15" s="18" customFormat="1" ht="30">
      <c r="A75" s="41">
        <f t="shared" si="7"/>
        <v>71</v>
      </c>
      <c r="B75" s="41" t="s">
        <v>111</v>
      </c>
      <c r="C75" s="39" t="s">
        <v>91</v>
      </c>
      <c r="D75" s="41" t="s">
        <v>7</v>
      </c>
      <c r="E75" s="41">
        <v>250</v>
      </c>
      <c r="F75" s="41">
        <v>0</v>
      </c>
      <c r="G75" s="41">
        <v>0</v>
      </c>
      <c r="H75" s="41">
        <v>0</v>
      </c>
      <c r="I75" s="41">
        <v>250</v>
      </c>
      <c r="J75" s="41">
        <v>0</v>
      </c>
      <c r="K75" s="40">
        <f>15/0.9</f>
        <v>16.666666666666668</v>
      </c>
      <c r="L75" s="40">
        <f>E75*0.8+15/0.9</f>
        <v>216.66666666666666</v>
      </c>
      <c r="M75" s="40">
        <f>I75-J75-K75</f>
        <v>233.33333333333334</v>
      </c>
      <c r="N75" s="40">
        <f>I75-J75-L75-K75</f>
        <v>16.666666666666675</v>
      </c>
      <c r="O75" s="17"/>
    </row>
    <row r="76" spans="1:15" s="18" customFormat="1" ht="30">
      <c r="A76" s="41">
        <f t="shared" si="7"/>
        <v>72</v>
      </c>
      <c r="B76" s="41" t="s">
        <v>109</v>
      </c>
      <c r="C76" s="39" t="s">
        <v>91</v>
      </c>
      <c r="D76" s="43" t="s">
        <v>7</v>
      </c>
      <c r="E76" s="41">
        <v>250</v>
      </c>
      <c r="F76" s="41">
        <v>0</v>
      </c>
      <c r="G76" s="41">
        <v>0</v>
      </c>
      <c r="H76" s="41">
        <v>0</v>
      </c>
      <c r="I76" s="41">
        <v>250</v>
      </c>
      <c r="J76" s="41">
        <v>0</v>
      </c>
      <c r="K76" s="40">
        <v>0</v>
      </c>
      <c r="L76" s="40">
        <v>250</v>
      </c>
      <c r="M76" s="40">
        <f>I76-J76-K76</f>
        <v>250</v>
      </c>
      <c r="N76" s="40">
        <f>I76-J76-L76-K76</f>
        <v>0</v>
      </c>
      <c r="O76" s="17"/>
    </row>
    <row r="77" spans="1:15" s="18" customFormat="1" ht="30">
      <c r="A77" s="41">
        <f t="shared" si="7"/>
        <v>73</v>
      </c>
      <c r="B77" s="41" t="s">
        <v>112</v>
      </c>
      <c r="C77" s="39" t="s">
        <v>91</v>
      </c>
      <c r="D77" s="43" t="s">
        <v>7</v>
      </c>
      <c r="E77" s="41">
        <v>250</v>
      </c>
      <c r="F77" s="41">
        <v>250</v>
      </c>
      <c r="G77" s="41">
        <v>0</v>
      </c>
      <c r="H77" s="41">
        <v>0</v>
      </c>
      <c r="I77" s="41">
        <f>E77*1.1</f>
        <v>275</v>
      </c>
      <c r="J77" s="41">
        <v>0</v>
      </c>
      <c r="K77" s="40">
        <v>0</v>
      </c>
      <c r="L77" s="40">
        <f>150/0.9</f>
        <v>166.66666666666666</v>
      </c>
      <c r="M77" s="40">
        <f>I77-J77-K77</f>
        <v>275</v>
      </c>
      <c r="N77" s="40">
        <f>I77-J77-L77-K77</f>
        <v>108.33333333333334</v>
      </c>
      <c r="O77" s="17"/>
    </row>
    <row r="78" spans="1:15" s="18" customFormat="1" ht="30">
      <c r="A78" s="41">
        <f t="shared" si="7"/>
        <v>74</v>
      </c>
      <c r="B78" s="41" t="s">
        <v>110</v>
      </c>
      <c r="C78" s="39" t="s">
        <v>91</v>
      </c>
      <c r="D78" s="43" t="s">
        <v>108</v>
      </c>
      <c r="E78" s="41">
        <v>250</v>
      </c>
      <c r="F78" s="41">
        <v>0</v>
      </c>
      <c r="G78" s="41">
        <v>0</v>
      </c>
      <c r="H78" s="41">
        <v>0</v>
      </c>
      <c r="I78" s="41">
        <v>250</v>
      </c>
      <c r="J78" s="41">
        <v>0</v>
      </c>
      <c r="K78" s="40">
        <f>15/0.9+15/0.9+15/0.9</f>
        <v>50</v>
      </c>
      <c r="L78" s="40">
        <v>200</v>
      </c>
      <c r="M78" s="40">
        <f>I78-J78-K78</f>
        <v>200</v>
      </c>
      <c r="N78" s="40">
        <f>I78-J78-L78-K78</f>
        <v>0</v>
      </c>
      <c r="O78" s="17"/>
    </row>
    <row r="79" spans="1:15" s="18" customFormat="1" ht="30">
      <c r="A79" s="41">
        <f t="shared" si="7"/>
        <v>75</v>
      </c>
      <c r="B79" s="41" t="s">
        <v>89</v>
      </c>
      <c r="C79" s="39" t="s">
        <v>34</v>
      </c>
      <c r="D79" s="41" t="s">
        <v>7</v>
      </c>
      <c r="E79" s="41">
        <v>1000</v>
      </c>
      <c r="F79" s="41">
        <v>1000</v>
      </c>
      <c r="G79" s="41">
        <v>0</v>
      </c>
      <c r="H79" s="41">
        <v>0</v>
      </c>
      <c r="I79" s="41">
        <f>E79*1.1</f>
        <v>1100</v>
      </c>
      <c r="J79" s="41">
        <f>E79*0.03</f>
        <v>30</v>
      </c>
      <c r="K79" s="40">
        <v>0</v>
      </c>
      <c r="L79" s="40">
        <v>0</v>
      </c>
      <c r="M79" s="40">
        <f>I79-J79-K79-970</f>
        <v>100</v>
      </c>
      <c r="N79" s="40">
        <f>I79-J79-L79-K79-970</f>
        <v>100</v>
      </c>
      <c r="O79" s="17"/>
    </row>
    <row r="80" spans="1:15" s="18" customFormat="1" ht="30">
      <c r="A80" s="41">
        <f t="shared" si="7"/>
        <v>76</v>
      </c>
      <c r="B80" s="41" t="s">
        <v>105</v>
      </c>
      <c r="C80" s="39" t="s">
        <v>34</v>
      </c>
      <c r="D80" s="41" t="s">
        <v>7</v>
      </c>
      <c r="E80" s="41">
        <v>1000</v>
      </c>
      <c r="F80" s="41">
        <v>1000</v>
      </c>
      <c r="G80" s="41">
        <v>0</v>
      </c>
      <c r="H80" s="41">
        <v>0</v>
      </c>
      <c r="I80" s="41">
        <f>E80*1.1</f>
        <v>1100</v>
      </c>
      <c r="J80" s="41">
        <f>E80*0.06+F80*0.09</f>
        <v>150</v>
      </c>
      <c r="K80" s="40">
        <v>0</v>
      </c>
      <c r="L80" s="40">
        <v>0</v>
      </c>
      <c r="M80" s="40">
        <f>I80-J80-K80-950</f>
        <v>0</v>
      </c>
      <c r="N80" s="40">
        <f>I80-J80-L80-K80-950</f>
        <v>0</v>
      </c>
      <c r="O80" s="17"/>
    </row>
    <row r="81" spans="1:15" s="18" customFormat="1" ht="15">
      <c r="A81" s="41"/>
      <c r="B81" s="14"/>
      <c r="C81" s="17"/>
      <c r="D81" s="17"/>
      <c r="E81" s="17"/>
      <c r="F81" s="17"/>
      <c r="G81" s="17"/>
      <c r="H81" s="17"/>
      <c r="I81" s="17"/>
      <c r="J81" s="17"/>
      <c r="K81" s="17"/>
      <c r="L81" s="35"/>
      <c r="M81" s="17"/>
      <c r="N81" s="17"/>
      <c r="O81" s="17"/>
    </row>
    <row r="82" spans="1:15" s="18" customFormat="1" ht="15">
      <c r="A82" s="41"/>
      <c r="B82" s="14"/>
      <c r="C82" s="17"/>
      <c r="D82" s="17"/>
      <c r="E82" s="17"/>
      <c r="F82" s="17"/>
      <c r="G82" s="17"/>
      <c r="H82" s="17"/>
      <c r="I82" s="17"/>
      <c r="J82" s="17"/>
      <c r="K82" s="17"/>
      <c r="L82" s="35"/>
      <c r="M82" s="17"/>
      <c r="N82" s="17"/>
      <c r="O82" s="17"/>
    </row>
    <row r="83" spans="1:15" s="18" customFormat="1" ht="15">
      <c r="A83" s="41"/>
      <c r="B83" s="14"/>
      <c r="C83" s="17"/>
      <c r="D83" s="17"/>
      <c r="E83" s="17"/>
      <c r="F83" s="17"/>
      <c r="G83" s="17"/>
      <c r="H83" s="17"/>
      <c r="I83" s="17"/>
      <c r="J83" s="17"/>
      <c r="K83" s="17"/>
      <c r="L83" s="35"/>
      <c r="M83" s="17"/>
      <c r="N83" s="17"/>
      <c r="O83" s="17"/>
    </row>
    <row r="84" spans="1:15" s="18" customFormat="1" ht="15">
      <c r="A84" s="41"/>
      <c r="B84" s="14"/>
      <c r="C84" s="17"/>
      <c r="D84" s="17"/>
      <c r="E84" s="17"/>
      <c r="F84" s="17"/>
      <c r="G84" s="17"/>
      <c r="H84" s="17"/>
      <c r="I84" s="17"/>
      <c r="J84" s="17"/>
      <c r="K84" s="17"/>
      <c r="L84" s="35"/>
      <c r="M84" s="17"/>
      <c r="N84" s="17"/>
      <c r="O84" s="17"/>
    </row>
    <row r="85" spans="1:15" s="18" customFormat="1" ht="15">
      <c r="A85" s="41"/>
      <c r="B85" s="14"/>
      <c r="C85" s="17"/>
      <c r="D85" s="17"/>
      <c r="E85" s="17"/>
      <c r="F85" s="17"/>
      <c r="G85" s="17"/>
      <c r="H85" s="17"/>
      <c r="I85" s="17"/>
      <c r="J85" s="17"/>
      <c r="K85" s="17"/>
      <c r="L85" s="35"/>
      <c r="M85" s="17"/>
      <c r="N85" s="17"/>
      <c r="O85" s="17"/>
    </row>
    <row r="86" spans="1:15" s="18" customFormat="1" ht="15">
      <c r="A86" s="41"/>
      <c r="B86" s="14"/>
      <c r="C86" s="17"/>
      <c r="D86" s="17"/>
      <c r="E86" s="17"/>
      <c r="F86" s="17"/>
      <c r="G86" s="17"/>
      <c r="H86" s="17"/>
      <c r="I86" s="17"/>
      <c r="J86" s="17"/>
      <c r="K86" s="17"/>
      <c r="L86" s="35"/>
      <c r="M86" s="17"/>
      <c r="N86" s="17"/>
      <c r="O86" s="17"/>
    </row>
    <row r="87" spans="1:15" s="18" customFormat="1" ht="15">
      <c r="A87" s="41"/>
      <c r="B87" s="14"/>
      <c r="C87" s="17"/>
      <c r="D87" s="17"/>
      <c r="E87" s="17"/>
      <c r="F87" s="17"/>
      <c r="G87" s="17"/>
      <c r="H87" s="17"/>
      <c r="I87" s="17"/>
      <c r="J87" s="17"/>
      <c r="K87" s="17"/>
      <c r="L87" s="35"/>
      <c r="M87" s="17"/>
      <c r="N87" s="17"/>
      <c r="O87" s="17"/>
    </row>
    <row r="88" spans="1:15" s="18" customFormat="1" ht="15">
      <c r="A88" s="41"/>
      <c r="B88" s="14"/>
      <c r="C88" s="17"/>
      <c r="D88" s="17"/>
      <c r="E88" s="17"/>
      <c r="F88" s="17"/>
      <c r="G88" s="17"/>
      <c r="H88" s="17"/>
      <c r="I88" s="17"/>
      <c r="J88" s="17"/>
      <c r="K88" s="17"/>
      <c r="L88" s="35"/>
      <c r="M88" s="17"/>
      <c r="N88" s="17"/>
      <c r="O88" s="17"/>
    </row>
    <row r="89" spans="1:15" s="18" customFormat="1" ht="15">
      <c r="A89" s="41"/>
      <c r="B89" s="14"/>
      <c r="C89" s="17"/>
      <c r="D89" s="17"/>
      <c r="E89" s="17"/>
      <c r="F89" s="17"/>
      <c r="G89" s="17"/>
      <c r="H89" s="17"/>
      <c r="I89" s="17"/>
      <c r="J89" s="17"/>
      <c r="K89" s="17"/>
      <c r="L89" s="35"/>
      <c r="M89" s="17"/>
      <c r="N89" s="17"/>
      <c r="O89" s="17"/>
    </row>
    <row r="90" spans="1:15" s="18" customFormat="1" ht="15">
      <c r="A90" s="41"/>
      <c r="B90" s="14"/>
      <c r="C90" s="17"/>
      <c r="D90" s="17"/>
      <c r="E90" s="17"/>
      <c r="F90" s="17"/>
      <c r="G90" s="17"/>
      <c r="H90" s="17"/>
      <c r="I90" s="17"/>
      <c r="J90" s="17"/>
      <c r="K90" s="17"/>
      <c r="L90" s="35"/>
      <c r="M90" s="17"/>
      <c r="N90" s="17"/>
      <c r="O90" s="17"/>
    </row>
    <row r="91" spans="1:15" s="18" customFormat="1" ht="15">
      <c r="A91" s="41"/>
      <c r="B91" s="14"/>
      <c r="C91" s="17"/>
      <c r="D91" s="17"/>
      <c r="E91" s="17"/>
      <c r="F91" s="17"/>
      <c r="G91" s="17"/>
      <c r="H91" s="17"/>
      <c r="I91" s="17"/>
      <c r="J91" s="17"/>
      <c r="K91" s="17"/>
      <c r="L91" s="35"/>
      <c r="M91" s="17"/>
      <c r="N91" s="17"/>
      <c r="O91" s="17"/>
    </row>
    <row r="92" spans="1:15" s="18" customFormat="1" ht="15">
      <c r="A92" s="41"/>
      <c r="B92" s="14"/>
      <c r="C92" s="17"/>
      <c r="D92" s="17"/>
      <c r="E92" s="17"/>
      <c r="F92" s="17"/>
      <c r="G92" s="17"/>
      <c r="H92" s="17"/>
      <c r="I92" s="17"/>
      <c r="J92" s="17"/>
      <c r="K92" s="17"/>
      <c r="L92" s="35"/>
      <c r="M92" s="17"/>
      <c r="N92" s="17"/>
      <c r="O92" s="17"/>
    </row>
    <row r="93" spans="1:15" s="18" customFormat="1" ht="15">
      <c r="A93" s="41"/>
      <c r="B93" s="14"/>
      <c r="C93" s="17"/>
      <c r="D93" s="17"/>
      <c r="E93" s="17"/>
      <c r="F93" s="17"/>
      <c r="G93" s="17"/>
      <c r="H93" s="17"/>
      <c r="I93" s="17"/>
      <c r="J93" s="17"/>
      <c r="K93" s="17"/>
      <c r="L93" s="35"/>
      <c r="M93" s="17"/>
      <c r="N93" s="17"/>
      <c r="O93" s="17"/>
    </row>
    <row r="94" spans="1:15" s="18" customFormat="1" ht="15">
      <c r="A94" s="41"/>
      <c r="B94" s="14"/>
      <c r="C94" s="17"/>
      <c r="D94" s="17"/>
      <c r="E94" s="17"/>
      <c r="F94" s="17"/>
      <c r="G94" s="17"/>
      <c r="H94" s="17"/>
      <c r="I94" s="17"/>
      <c r="J94" s="17"/>
      <c r="K94" s="17"/>
      <c r="L94" s="35"/>
      <c r="M94" s="17"/>
      <c r="N94" s="17"/>
      <c r="O94" s="17"/>
    </row>
    <row r="95" spans="1:15" s="18" customFormat="1" ht="15">
      <c r="A95" s="41"/>
      <c r="B95" s="14"/>
      <c r="C95" s="17"/>
      <c r="D95" s="17"/>
      <c r="E95" s="17"/>
      <c r="F95" s="17"/>
      <c r="G95" s="17"/>
      <c r="H95" s="17"/>
      <c r="I95" s="17"/>
      <c r="J95" s="17"/>
      <c r="K95" s="17"/>
      <c r="L95" s="35"/>
      <c r="M95" s="17"/>
      <c r="N95" s="17"/>
      <c r="O95" s="17"/>
    </row>
    <row r="96" spans="1:15" s="18" customFormat="1" ht="15">
      <c r="A96" s="41"/>
      <c r="B96" s="14"/>
      <c r="C96" s="17"/>
      <c r="D96" s="17"/>
      <c r="E96" s="17"/>
      <c r="F96" s="17"/>
      <c r="G96" s="17"/>
      <c r="H96" s="17"/>
      <c r="I96" s="17"/>
      <c r="J96" s="17"/>
      <c r="K96" s="17"/>
      <c r="L96" s="35"/>
      <c r="M96" s="17"/>
      <c r="N96" s="17"/>
      <c r="O96" s="17"/>
    </row>
    <row r="97" spans="1:15" s="18" customFormat="1" ht="15">
      <c r="A97" s="41"/>
      <c r="B97" s="14"/>
      <c r="C97" s="17"/>
      <c r="D97" s="17"/>
      <c r="E97" s="17"/>
      <c r="F97" s="17"/>
      <c r="G97" s="17"/>
      <c r="H97" s="17"/>
      <c r="I97" s="17"/>
      <c r="J97" s="17"/>
      <c r="K97" s="17"/>
      <c r="L97" s="35"/>
      <c r="M97" s="17"/>
      <c r="N97" s="17"/>
      <c r="O97" s="17"/>
    </row>
    <row r="98" spans="1:15" s="18" customFormat="1" ht="15">
      <c r="A98" s="41"/>
      <c r="B98" s="14"/>
      <c r="C98" s="17"/>
      <c r="D98" s="17"/>
      <c r="E98" s="17"/>
      <c r="F98" s="17"/>
      <c r="G98" s="17"/>
      <c r="H98" s="17"/>
      <c r="I98" s="17"/>
      <c r="J98" s="17"/>
      <c r="K98" s="17"/>
      <c r="L98" s="35"/>
      <c r="M98" s="17"/>
      <c r="N98" s="17"/>
      <c r="O98" s="17"/>
    </row>
    <row r="99" spans="1:15" s="18" customFormat="1" ht="15">
      <c r="A99" s="41"/>
      <c r="B99" s="14"/>
      <c r="C99" s="17"/>
      <c r="D99" s="17"/>
      <c r="E99" s="17"/>
      <c r="F99" s="17"/>
      <c r="G99" s="17"/>
      <c r="H99" s="17"/>
      <c r="I99" s="17"/>
      <c r="J99" s="17"/>
      <c r="K99" s="17"/>
      <c r="L99" s="35"/>
      <c r="M99" s="17"/>
      <c r="N99" s="17"/>
      <c r="O99" s="17"/>
    </row>
    <row r="100" spans="1:15" s="18" customFormat="1" ht="15">
      <c r="A100" s="41"/>
      <c r="B100" s="14"/>
      <c r="C100" s="17"/>
      <c r="D100" s="17"/>
      <c r="E100" s="17"/>
      <c r="F100" s="17"/>
      <c r="G100" s="17"/>
      <c r="H100" s="17"/>
      <c r="I100" s="17"/>
      <c r="J100" s="17"/>
      <c r="K100" s="17"/>
      <c r="L100" s="35"/>
      <c r="M100" s="17"/>
      <c r="N100" s="17"/>
      <c r="O100" s="17"/>
    </row>
    <row r="101" spans="1:15" s="18" customFormat="1" ht="15">
      <c r="A101" s="41"/>
      <c r="B101" s="14"/>
      <c r="C101" s="17"/>
      <c r="D101" s="17"/>
      <c r="E101" s="17"/>
      <c r="F101" s="17"/>
      <c r="G101" s="17"/>
      <c r="H101" s="17"/>
      <c r="I101" s="17"/>
      <c r="J101" s="17"/>
      <c r="K101" s="17"/>
      <c r="L101" s="35"/>
      <c r="M101" s="17"/>
      <c r="N101" s="17"/>
      <c r="O101" s="17"/>
    </row>
    <row r="102" spans="1:15" s="18" customFormat="1" ht="15">
      <c r="A102" s="41"/>
      <c r="B102" s="14"/>
      <c r="C102" s="17"/>
      <c r="D102" s="17"/>
      <c r="E102" s="17"/>
      <c r="F102" s="17"/>
      <c r="G102" s="17"/>
      <c r="H102" s="17"/>
      <c r="I102" s="17"/>
      <c r="J102" s="17"/>
      <c r="K102" s="17"/>
      <c r="L102" s="35"/>
      <c r="M102" s="17"/>
      <c r="N102" s="17"/>
      <c r="O102" s="17"/>
    </row>
    <row r="103" spans="1:15" s="18" customFormat="1" ht="15">
      <c r="A103" s="41"/>
      <c r="B103" s="14"/>
      <c r="C103" s="17"/>
      <c r="D103" s="17"/>
      <c r="E103" s="17"/>
      <c r="F103" s="17"/>
      <c r="G103" s="17"/>
      <c r="H103" s="17"/>
      <c r="I103" s="17"/>
      <c r="J103" s="17"/>
      <c r="K103" s="17"/>
      <c r="L103" s="35"/>
      <c r="M103" s="17"/>
      <c r="N103" s="17"/>
      <c r="O103" s="17"/>
    </row>
    <row r="104" spans="1:15" s="18" customFormat="1" ht="15">
      <c r="A104" s="41"/>
      <c r="B104" s="14"/>
      <c r="C104" s="17"/>
      <c r="D104" s="17"/>
      <c r="E104" s="17"/>
      <c r="F104" s="17"/>
      <c r="G104" s="17"/>
      <c r="H104" s="17"/>
      <c r="I104" s="17"/>
      <c r="J104" s="17"/>
      <c r="K104" s="17"/>
      <c r="L104" s="35"/>
      <c r="M104" s="17"/>
      <c r="N104" s="17"/>
      <c r="O104" s="17"/>
    </row>
    <row r="105" spans="1:15" s="18" customFormat="1" ht="15">
      <c r="A105" s="41"/>
      <c r="B105" s="14"/>
      <c r="C105" s="17"/>
      <c r="D105" s="17"/>
      <c r="E105" s="17"/>
      <c r="F105" s="17"/>
      <c r="G105" s="17"/>
      <c r="H105" s="17"/>
      <c r="I105" s="17"/>
      <c r="J105" s="17"/>
      <c r="K105" s="17"/>
      <c r="L105" s="35"/>
      <c r="M105" s="17"/>
      <c r="N105" s="17"/>
      <c r="O105" s="17"/>
    </row>
    <row r="106" spans="1:15" s="18" customFormat="1" ht="15">
      <c r="A106" s="41"/>
      <c r="B106" s="14"/>
      <c r="C106" s="17"/>
      <c r="D106" s="17"/>
      <c r="E106" s="17"/>
      <c r="F106" s="17"/>
      <c r="G106" s="17"/>
      <c r="H106" s="17"/>
      <c r="I106" s="17"/>
      <c r="J106" s="17"/>
      <c r="K106" s="17"/>
      <c r="L106" s="35"/>
      <c r="M106" s="17"/>
      <c r="N106" s="17"/>
      <c r="O106" s="17"/>
    </row>
    <row r="107" spans="1:15" s="18" customFormat="1" ht="15">
      <c r="A107" s="41"/>
      <c r="B107" s="14"/>
      <c r="C107" s="17"/>
      <c r="D107" s="17"/>
      <c r="E107" s="17"/>
      <c r="F107" s="17"/>
      <c r="G107" s="17"/>
      <c r="H107" s="17"/>
      <c r="I107" s="17"/>
      <c r="J107" s="17"/>
      <c r="K107" s="17"/>
      <c r="L107" s="35"/>
      <c r="M107" s="17"/>
      <c r="N107" s="17"/>
      <c r="O107" s="17"/>
    </row>
    <row r="108" spans="1:15" s="18" customFormat="1" ht="15">
      <c r="A108" s="41"/>
      <c r="B108" s="14"/>
      <c r="C108" s="17"/>
      <c r="D108" s="17"/>
      <c r="E108" s="17"/>
      <c r="F108" s="17"/>
      <c r="G108" s="17"/>
      <c r="H108" s="17"/>
      <c r="I108" s="17"/>
      <c r="J108" s="17"/>
      <c r="K108" s="17"/>
      <c r="L108" s="35"/>
      <c r="M108" s="17"/>
      <c r="N108" s="17"/>
      <c r="O108" s="17"/>
    </row>
    <row r="109" spans="1:15" s="18" customFormat="1" ht="15">
      <c r="A109" s="41"/>
      <c r="B109" s="14"/>
      <c r="C109" s="17"/>
      <c r="D109" s="17"/>
      <c r="E109" s="17"/>
      <c r="F109" s="17"/>
      <c r="G109" s="17"/>
      <c r="H109" s="17"/>
      <c r="I109" s="17"/>
      <c r="J109" s="17"/>
      <c r="K109" s="17"/>
      <c r="L109" s="35"/>
      <c r="M109" s="17"/>
      <c r="N109" s="17"/>
      <c r="O109" s="17"/>
    </row>
    <row r="110" spans="1:15" s="18" customFormat="1" ht="15">
      <c r="A110" s="41"/>
      <c r="B110" s="14"/>
      <c r="C110" s="17"/>
      <c r="D110" s="17"/>
      <c r="E110" s="17"/>
      <c r="F110" s="17"/>
      <c r="G110" s="17"/>
      <c r="H110" s="17"/>
      <c r="I110" s="17"/>
      <c r="J110" s="17"/>
      <c r="K110" s="17"/>
      <c r="L110" s="35"/>
      <c r="M110" s="17"/>
      <c r="N110" s="17"/>
      <c r="O110" s="17"/>
    </row>
    <row r="111" spans="1:15" s="18" customFormat="1" ht="15">
      <c r="A111" s="41"/>
      <c r="B111" s="14"/>
      <c r="C111" s="17"/>
      <c r="D111" s="17"/>
      <c r="E111" s="17"/>
      <c r="F111" s="17"/>
      <c r="G111" s="17"/>
      <c r="H111" s="17"/>
      <c r="I111" s="17"/>
      <c r="J111" s="17"/>
      <c r="K111" s="17"/>
      <c r="L111" s="35"/>
      <c r="M111" s="17"/>
      <c r="N111" s="17"/>
      <c r="O111" s="17"/>
    </row>
    <row r="112" spans="1:15" s="18" customFormat="1" ht="15">
      <c r="A112" s="41"/>
      <c r="B112" s="14"/>
      <c r="C112" s="17"/>
      <c r="D112" s="17"/>
      <c r="E112" s="17"/>
      <c r="F112" s="17"/>
      <c r="G112" s="17"/>
      <c r="H112" s="17"/>
      <c r="I112" s="17"/>
      <c r="J112" s="17"/>
      <c r="K112" s="17"/>
      <c r="L112" s="35"/>
      <c r="M112" s="17"/>
      <c r="N112" s="17"/>
      <c r="O112" s="17"/>
    </row>
    <row r="113" spans="1:15" s="18" customFormat="1" ht="15">
      <c r="A113" s="41"/>
      <c r="B113" s="14"/>
      <c r="C113" s="17"/>
      <c r="D113" s="17"/>
      <c r="E113" s="17"/>
      <c r="F113" s="17"/>
      <c r="G113" s="17"/>
      <c r="H113" s="17"/>
      <c r="I113" s="17"/>
      <c r="J113" s="17"/>
      <c r="K113" s="17"/>
      <c r="L113" s="35"/>
      <c r="M113" s="17"/>
      <c r="N113" s="17"/>
      <c r="O113" s="17"/>
    </row>
    <row r="114" spans="1:15" s="18" customFormat="1" ht="15">
      <c r="A114" s="41"/>
      <c r="B114" s="14"/>
      <c r="C114" s="17"/>
      <c r="D114" s="17"/>
      <c r="E114" s="17"/>
      <c r="F114" s="17"/>
      <c r="G114" s="17"/>
      <c r="H114" s="17"/>
      <c r="I114" s="17"/>
      <c r="J114" s="17"/>
      <c r="K114" s="17"/>
      <c r="L114" s="35"/>
      <c r="M114" s="17"/>
      <c r="N114" s="17"/>
      <c r="O114" s="17"/>
    </row>
    <row r="115" spans="1:15" s="18" customFormat="1" ht="15">
      <c r="A115" s="41"/>
      <c r="B115" s="14"/>
      <c r="C115" s="17"/>
      <c r="D115" s="17"/>
      <c r="E115" s="17"/>
      <c r="F115" s="17"/>
      <c r="G115" s="17"/>
      <c r="H115" s="17"/>
      <c r="I115" s="17"/>
      <c r="J115" s="17"/>
      <c r="K115" s="17"/>
      <c r="L115" s="35"/>
      <c r="M115" s="17"/>
      <c r="N115" s="17"/>
      <c r="O115" s="17"/>
    </row>
    <row r="116" spans="1:15" s="18" customFormat="1" ht="15">
      <c r="A116" s="41"/>
      <c r="B116" s="14"/>
      <c r="C116" s="17"/>
      <c r="D116" s="17"/>
      <c r="E116" s="17"/>
      <c r="F116" s="17"/>
      <c r="G116" s="17"/>
      <c r="H116" s="17"/>
      <c r="I116" s="17"/>
      <c r="J116" s="17"/>
      <c r="K116" s="17"/>
      <c r="L116" s="35"/>
      <c r="M116" s="17"/>
      <c r="N116" s="17"/>
      <c r="O116" s="17"/>
    </row>
    <row r="117" spans="1:15" s="18" customFormat="1" ht="15">
      <c r="A117" s="41"/>
      <c r="B117" s="14"/>
      <c r="C117" s="17"/>
      <c r="D117" s="17"/>
      <c r="E117" s="17"/>
      <c r="F117" s="17"/>
      <c r="G117" s="17"/>
      <c r="H117" s="17"/>
      <c r="I117" s="17"/>
      <c r="J117" s="17"/>
      <c r="K117" s="17"/>
      <c r="L117" s="35"/>
      <c r="M117" s="17"/>
      <c r="N117" s="17"/>
      <c r="O117" s="17"/>
    </row>
    <row r="118" spans="1:15" s="18" customFormat="1" ht="15">
      <c r="A118" s="41"/>
      <c r="B118" s="14"/>
      <c r="C118" s="17"/>
      <c r="D118" s="17"/>
      <c r="E118" s="17"/>
      <c r="F118" s="17"/>
      <c r="G118" s="17"/>
      <c r="H118" s="17"/>
      <c r="I118" s="17"/>
      <c r="J118" s="17"/>
      <c r="K118" s="17"/>
      <c r="L118" s="35"/>
      <c r="M118" s="17"/>
      <c r="N118" s="17"/>
      <c r="O118" s="17"/>
    </row>
    <row r="119" spans="1:15" s="18" customFormat="1" ht="15">
      <c r="A119" s="41"/>
      <c r="B119" s="14"/>
      <c r="C119" s="17"/>
      <c r="D119" s="17"/>
      <c r="E119" s="17"/>
      <c r="F119" s="17"/>
      <c r="G119" s="17"/>
      <c r="H119" s="17"/>
      <c r="I119" s="17"/>
      <c r="J119" s="17"/>
      <c r="K119" s="17"/>
      <c r="L119" s="35"/>
      <c r="M119" s="17"/>
      <c r="N119" s="17"/>
      <c r="O119" s="17"/>
    </row>
    <row r="120" spans="1:15" s="18" customFormat="1" ht="15">
      <c r="A120" s="41"/>
      <c r="B120" s="14"/>
      <c r="C120" s="17"/>
      <c r="D120" s="17"/>
      <c r="E120" s="17"/>
      <c r="F120" s="17"/>
      <c r="G120" s="17"/>
      <c r="H120" s="17"/>
      <c r="I120" s="17"/>
      <c r="J120" s="17"/>
      <c r="K120" s="17"/>
      <c r="L120" s="35"/>
      <c r="M120" s="17"/>
      <c r="N120" s="17"/>
      <c r="O120" s="17"/>
    </row>
    <row r="121" spans="1:15" s="18" customFormat="1" ht="15">
      <c r="A121" s="41"/>
      <c r="B121" s="14"/>
      <c r="C121" s="17"/>
      <c r="D121" s="17"/>
      <c r="E121" s="17"/>
      <c r="F121" s="17"/>
      <c r="G121" s="17"/>
      <c r="H121" s="17"/>
      <c r="I121" s="17"/>
      <c r="J121" s="17"/>
      <c r="K121" s="17"/>
      <c r="L121" s="35"/>
      <c r="M121" s="17"/>
      <c r="N121" s="17"/>
      <c r="O121" s="17"/>
    </row>
    <row r="122" spans="1:15" s="18" customFormat="1" ht="15">
      <c r="A122" s="41"/>
      <c r="B122" s="14"/>
      <c r="C122" s="17"/>
      <c r="D122" s="17"/>
      <c r="E122" s="17"/>
      <c r="F122" s="17"/>
      <c r="G122" s="17"/>
      <c r="H122" s="17"/>
      <c r="I122" s="17"/>
      <c r="J122" s="17"/>
      <c r="K122" s="17"/>
      <c r="L122" s="35"/>
      <c r="M122" s="17"/>
      <c r="N122" s="17"/>
      <c r="O122" s="17"/>
    </row>
    <row r="123" spans="1:15" s="18" customFormat="1" ht="15">
      <c r="A123" s="41"/>
      <c r="B123" s="14"/>
      <c r="C123" s="17"/>
      <c r="D123" s="17"/>
      <c r="E123" s="17"/>
      <c r="F123" s="17"/>
      <c r="G123" s="17"/>
      <c r="H123" s="17"/>
      <c r="I123" s="17"/>
      <c r="J123" s="17"/>
      <c r="K123" s="17"/>
      <c r="L123" s="35"/>
      <c r="M123" s="17"/>
      <c r="N123" s="17"/>
      <c r="O123" s="17"/>
    </row>
    <row r="124" spans="1:15" s="18" customFormat="1" ht="15">
      <c r="A124" s="41"/>
      <c r="B124" s="14"/>
      <c r="C124" s="17"/>
      <c r="D124" s="17"/>
      <c r="E124" s="17"/>
      <c r="F124" s="17"/>
      <c r="G124" s="17"/>
      <c r="H124" s="17"/>
      <c r="I124" s="17"/>
      <c r="J124" s="17"/>
      <c r="K124" s="17"/>
      <c r="L124" s="35"/>
      <c r="M124" s="17"/>
      <c r="N124" s="17"/>
      <c r="O124" s="17"/>
    </row>
    <row r="125" spans="1:15" s="18" customFormat="1" ht="15">
      <c r="A125" s="41"/>
      <c r="B125" s="14"/>
      <c r="C125" s="17"/>
      <c r="D125" s="17"/>
      <c r="E125" s="17"/>
      <c r="F125" s="17"/>
      <c r="G125" s="17"/>
      <c r="H125" s="17"/>
      <c r="I125" s="17"/>
      <c r="J125" s="17"/>
      <c r="K125" s="17"/>
      <c r="L125" s="35"/>
      <c r="M125" s="17"/>
      <c r="N125" s="17"/>
      <c r="O125" s="17"/>
    </row>
    <row r="126" spans="1:15" s="18" customFormat="1" ht="15">
      <c r="A126" s="41"/>
      <c r="B126" s="14"/>
      <c r="C126" s="17"/>
      <c r="D126" s="17"/>
      <c r="E126" s="17"/>
      <c r="F126" s="17"/>
      <c r="G126" s="17"/>
      <c r="H126" s="17"/>
      <c r="I126" s="17"/>
      <c r="J126" s="17"/>
      <c r="K126" s="17"/>
      <c r="L126" s="35"/>
      <c r="M126" s="17"/>
      <c r="N126" s="17"/>
      <c r="O126" s="17"/>
    </row>
    <row r="127" spans="1:15" s="18" customFormat="1" ht="15">
      <c r="A127" s="41"/>
      <c r="B127" s="14"/>
      <c r="C127" s="17"/>
      <c r="D127" s="17"/>
      <c r="E127" s="17"/>
      <c r="F127" s="17"/>
      <c r="G127" s="17"/>
      <c r="H127" s="17"/>
      <c r="I127" s="17"/>
      <c r="J127" s="17"/>
      <c r="K127" s="17"/>
      <c r="L127" s="35"/>
      <c r="M127" s="17"/>
      <c r="N127" s="17"/>
      <c r="O127" s="17"/>
    </row>
    <row r="128" spans="1:15" s="18" customFormat="1" ht="15">
      <c r="A128" s="41"/>
      <c r="B128" s="14"/>
      <c r="C128" s="17"/>
      <c r="D128" s="17"/>
      <c r="E128" s="17"/>
      <c r="F128" s="17"/>
      <c r="G128" s="17"/>
      <c r="H128" s="17"/>
      <c r="I128" s="17"/>
      <c r="J128" s="17"/>
      <c r="K128" s="17"/>
      <c r="L128" s="35"/>
      <c r="M128" s="17"/>
      <c r="N128" s="17"/>
      <c r="O128" s="17"/>
    </row>
    <row r="129" spans="1:15" s="18" customFormat="1" ht="15">
      <c r="A129" s="41"/>
      <c r="B129" s="14"/>
      <c r="C129" s="17"/>
      <c r="D129" s="17"/>
      <c r="E129" s="17"/>
      <c r="F129" s="17"/>
      <c r="G129" s="17"/>
      <c r="H129" s="17"/>
      <c r="I129" s="17"/>
      <c r="J129" s="17"/>
      <c r="K129" s="17"/>
      <c r="L129" s="35"/>
      <c r="M129" s="17"/>
      <c r="N129" s="17"/>
      <c r="O129" s="17"/>
    </row>
    <row r="130" spans="1:15" s="18" customFormat="1" ht="15">
      <c r="A130" s="41"/>
      <c r="B130" s="14"/>
      <c r="C130" s="17"/>
      <c r="D130" s="17"/>
      <c r="E130" s="17"/>
      <c r="F130" s="17"/>
      <c r="G130" s="17"/>
      <c r="H130" s="17"/>
      <c r="I130" s="17"/>
      <c r="J130" s="17"/>
      <c r="K130" s="17"/>
      <c r="L130" s="35"/>
      <c r="M130" s="17"/>
      <c r="N130" s="17"/>
      <c r="O130" s="17"/>
    </row>
    <row r="131" spans="1:15" s="18" customFormat="1" ht="15">
      <c r="A131" s="41"/>
      <c r="B131" s="14"/>
      <c r="C131" s="17"/>
      <c r="D131" s="17"/>
      <c r="E131" s="17"/>
      <c r="F131" s="17"/>
      <c r="G131" s="17"/>
      <c r="H131" s="17"/>
      <c r="I131" s="17"/>
      <c r="J131" s="17"/>
      <c r="K131" s="17"/>
      <c r="L131" s="35"/>
      <c r="M131" s="17"/>
      <c r="N131" s="17"/>
      <c r="O131" s="17"/>
    </row>
    <row r="132" spans="1:15" s="18" customFormat="1" ht="15">
      <c r="A132" s="41"/>
      <c r="B132" s="14"/>
      <c r="C132" s="17"/>
      <c r="D132" s="17"/>
      <c r="E132" s="17"/>
      <c r="F132" s="17"/>
      <c r="G132" s="17"/>
      <c r="H132" s="17"/>
      <c r="I132" s="17"/>
      <c r="J132" s="17"/>
      <c r="K132" s="17"/>
      <c r="L132" s="35"/>
      <c r="M132" s="17"/>
      <c r="N132" s="17"/>
      <c r="O132" s="17"/>
    </row>
    <row r="133" spans="1:15" s="18" customFormat="1" ht="15">
      <c r="A133" s="41"/>
      <c r="B133" s="14"/>
      <c r="C133" s="17"/>
      <c r="D133" s="17"/>
      <c r="E133" s="17"/>
      <c r="F133" s="17"/>
      <c r="G133" s="17"/>
      <c r="H133" s="17"/>
      <c r="I133" s="17"/>
      <c r="J133" s="17"/>
      <c r="K133" s="17"/>
      <c r="L133" s="35"/>
      <c r="M133" s="17"/>
      <c r="N133" s="17"/>
      <c r="O133" s="17"/>
    </row>
    <row r="134" spans="1:15" s="18" customFormat="1" ht="15">
      <c r="A134" s="41"/>
      <c r="B134" s="14"/>
      <c r="C134" s="17"/>
      <c r="D134" s="17"/>
      <c r="E134" s="17"/>
      <c r="F134" s="17"/>
      <c r="G134" s="17"/>
      <c r="H134" s="17"/>
      <c r="I134" s="17"/>
      <c r="J134" s="17"/>
      <c r="K134" s="17"/>
      <c r="L134" s="35"/>
      <c r="M134" s="17"/>
      <c r="N134" s="17"/>
      <c r="O134" s="17"/>
    </row>
    <row r="135" spans="1:15" s="18" customFormat="1" ht="15">
      <c r="A135" s="41"/>
      <c r="B135" s="14"/>
      <c r="C135" s="17"/>
      <c r="D135" s="17"/>
      <c r="E135" s="17"/>
      <c r="F135" s="17"/>
      <c r="G135" s="17"/>
      <c r="H135" s="17"/>
      <c r="I135" s="17"/>
      <c r="J135" s="17"/>
      <c r="K135" s="17"/>
      <c r="L135" s="35"/>
      <c r="M135" s="17"/>
      <c r="N135" s="17"/>
      <c r="O135" s="17"/>
    </row>
    <row r="136" spans="1:15" s="18" customFormat="1" ht="15">
      <c r="A136" s="41"/>
      <c r="B136" s="14"/>
      <c r="C136" s="17"/>
      <c r="D136" s="17"/>
      <c r="E136" s="17"/>
      <c r="F136" s="17"/>
      <c r="G136" s="17"/>
      <c r="H136" s="17"/>
      <c r="I136" s="17"/>
      <c r="J136" s="17"/>
      <c r="K136" s="17"/>
      <c r="L136" s="35"/>
      <c r="M136" s="17"/>
      <c r="N136" s="17"/>
      <c r="O136" s="17"/>
    </row>
    <row r="137" spans="1:15" s="18" customFormat="1" ht="15">
      <c r="A137" s="17"/>
      <c r="B137" s="14"/>
      <c r="C137" s="17"/>
      <c r="D137" s="17"/>
      <c r="E137" s="17"/>
      <c r="F137" s="17"/>
      <c r="G137" s="17"/>
      <c r="H137" s="17"/>
      <c r="I137" s="17"/>
      <c r="J137" s="17"/>
      <c r="K137" s="17"/>
      <c r="L137" s="35"/>
      <c r="M137" s="17"/>
      <c r="N137" s="17"/>
      <c r="O137" s="17"/>
    </row>
    <row r="138" spans="1:15" s="18" customFormat="1" ht="15">
      <c r="A138" s="17"/>
      <c r="B138" s="14"/>
      <c r="C138" s="17"/>
      <c r="D138" s="17"/>
      <c r="E138" s="17"/>
      <c r="F138" s="17"/>
      <c r="G138" s="17"/>
      <c r="H138" s="17"/>
      <c r="I138" s="17"/>
      <c r="J138" s="17"/>
      <c r="K138" s="17"/>
      <c r="L138" s="35"/>
      <c r="M138" s="17"/>
      <c r="N138" s="17"/>
      <c r="O138" s="17"/>
    </row>
    <row r="139" spans="1:15" s="18" customFormat="1" ht="15">
      <c r="A139" s="17"/>
      <c r="B139" s="14"/>
      <c r="C139" s="17"/>
      <c r="D139" s="17"/>
      <c r="E139" s="17"/>
      <c r="F139" s="17"/>
      <c r="G139" s="17"/>
      <c r="H139" s="17"/>
      <c r="I139" s="17"/>
      <c r="J139" s="17"/>
      <c r="K139" s="17"/>
      <c r="L139" s="35"/>
      <c r="M139" s="17"/>
      <c r="N139" s="17"/>
      <c r="O139" s="17"/>
    </row>
    <row r="140" spans="1:15" s="18" customFormat="1" ht="15">
      <c r="A140" s="17"/>
      <c r="B140" s="14"/>
      <c r="C140" s="17"/>
      <c r="D140" s="17"/>
      <c r="E140" s="17"/>
      <c r="F140" s="17"/>
      <c r="G140" s="17"/>
      <c r="H140" s="17"/>
      <c r="I140" s="17"/>
      <c r="J140" s="17"/>
      <c r="K140" s="17"/>
      <c r="L140" s="35"/>
      <c r="M140" s="17"/>
      <c r="N140" s="17"/>
      <c r="O140" s="17"/>
    </row>
    <row r="141" spans="1:15" s="18" customFormat="1" ht="15">
      <c r="A141" s="17"/>
      <c r="B141" s="14"/>
      <c r="C141" s="17"/>
      <c r="D141" s="17"/>
      <c r="E141" s="17"/>
      <c r="F141" s="17"/>
      <c r="G141" s="17"/>
      <c r="H141" s="17"/>
      <c r="I141" s="17"/>
      <c r="J141" s="17"/>
      <c r="K141" s="17"/>
      <c r="L141" s="35"/>
      <c r="M141" s="17"/>
      <c r="N141" s="17"/>
      <c r="O141" s="17"/>
    </row>
    <row r="142" spans="1:15" s="18" customFormat="1" ht="15">
      <c r="A142" s="17"/>
      <c r="B142" s="14"/>
      <c r="C142" s="17"/>
      <c r="D142" s="17"/>
      <c r="E142" s="17"/>
      <c r="F142" s="17"/>
      <c r="G142" s="17"/>
      <c r="H142" s="17"/>
      <c r="I142" s="17"/>
      <c r="J142" s="17"/>
      <c r="K142" s="17"/>
      <c r="L142" s="35"/>
      <c r="M142" s="17"/>
      <c r="N142" s="17"/>
      <c r="O142" s="17"/>
    </row>
    <row r="143" spans="1:15" s="18" customFormat="1" ht="15">
      <c r="A143" s="17"/>
      <c r="B143" s="14"/>
      <c r="C143" s="17"/>
      <c r="D143" s="17"/>
      <c r="E143" s="17"/>
      <c r="F143" s="17"/>
      <c r="G143" s="17"/>
      <c r="H143" s="17"/>
      <c r="I143" s="17"/>
      <c r="J143" s="17"/>
      <c r="K143" s="17"/>
      <c r="L143" s="35"/>
      <c r="M143" s="17"/>
      <c r="N143" s="17"/>
      <c r="O143" s="17"/>
    </row>
    <row r="144" spans="1:15" s="18" customFormat="1" ht="15">
      <c r="A144" s="17"/>
      <c r="B144" s="14"/>
      <c r="C144" s="17"/>
      <c r="D144" s="17"/>
      <c r="E144" s="17"/>
      <c r="F144" s="17"/>
      <c r="G144" s="17"/>
      <c r="H144" s="17"/>
      <c r="I144" s="17"/>
      <c r="J144" s="17"/>
      <c r="K144" s="17"/>
      <c r="L144" s="35"/>
      <c r="M144" s="17"/>
      <c r="N144" s="17"/>
      <c r="O144" s="17"/>
    </row>
    <row r="145" spans="1:15" s="18" customFormat="1" ht="15">
      <c r="A145" s="17"/>
      <c r="B145" s="14"/>
      <c r="C145" s="17"/>
      <c r="D145" s="17"/>
      <c r="E145" s="17"/>
      <c r="F145" s="17"/>
      <c r="G145" s="17"/>
      <c r="H145" s="17"/>
      <c r="I145" s="17"/>
      <c r="J145" s="17"/>
      <c r="K145" s="17"/>
      <c r="L145" s="35"/>
      <c r="M145" s="17"/>
      <c r="N145" s="17"/>
      <c r="O145" s="17"/>
    </row>
    <row r="146" spans="1:15" s="18" customFormat="1" ht="15">
      <c r="A146" s="17"/>
      <c r="B146" s="14"/>
      <c r="C146" s="17"/>
      <c r="D146" s="17"/>
      <c r="E146" s="17"/>
      <c r="F146" s="17"/>
      <c r="G146" s="17"/>
      <c r="H146" s="17"/>
      <c r="I146" s="17"/>
      <c r="J146" s="17"/>
      <c r="K146" s="17"/>
      <c r="L146" s="35"/>
      <c r="M146" s="17"/>
      <c r="N146" s="17"/>
      <c r="O146" s="17"/>
    </row>
    <row r="147" spans="1:15" s="18" customFormat="1" ht="15">
      <c r="A147" s="17"/>
      <c r="B147" s="14"/>
      <c r="C147" s="17"/>
      <c r="D147" s="17"/>
      <c r="E147" s="17"/>
      <c r="F147" s="17"/>
      <c r="G147" s="17"/>
      <c r="H147" s="17"/>
      <c r="I147" s="17"/>
      <c r="J147" s="17"/>
      <c r="K147" s="17"/>
      <c r="L147" s="35"/>
      <c r="M147" s="17"/>
      <c r="N147" s="17"/>
      <c r="O147" s="17"/>
    </row>
    <row r="148" spans="1:15" s="18" customFormat="1" ht="15">
      <c r="A148" s="17"/>
      <c r="B148" s="14"/>
      <c r="C148" s="17"/>
      <c r="D148" s="17"/>
      <c r="E148" s="17"/>
      <c r="F148" s="17"/>
      <c r="G148" s="17"/>
      <c r="H148" s="17"/>
      <c r="I148" s="17"/>
      <c r="J148" s="17"/>
      <c r="K148" s="17"/>
      <c r="L148" s="35"/>
      <c r="M148" s="17"/>
      <c r="N148" s="17"/>
      <c r="O148" s="17"/>
    </row>
    <row r="149" spans="1:15" s="18" customFormat="1" ht="15">
      <c r="A149" s="17"/>
      <c r="B149" s="14"/>
      <c r="C149" s="17"/>
      <c r="D149" s="17"/>
      <c r="E149" s="17"/>
      <c r="F149" s="17"/>
      <c r="G149" s="17"/>
      <c r="H149" s="17"/>
      <c r="I149" s="17"/>
      <c r="J149" s="17"/>
      <c r="K149" s="17"/>
      <c r="L149" s="35"/>
      <c r="M149" s="17"/>
      <c r="N149" s="17"/>
      <c r="O149" s="17"/>
    </row>
    <row r="150" spans="1:15" s="18" customFormat="1" ht="15">
      <c r="A150" s="17"/>
      <c r="B150" s="14"/>
      <c r="C150" s="17"/>
      <c r="D150" s="17"/>
      <c r="E150" s="17"/>
      <c r="F150" s="17"/>
      <c r="G150" s="17"/>
      <c r="H150" s="17"/>
      <c r="I150" s="17"/>
      <c r="J150" s="17"/>
      <c r="K150" s="17"/>
      <c r="L150" s="35"/>
      <c r="M150" s="17"/>
      <c r="N150" s="17"/>
      <c r="O150" s="17"/>
    </row>
    <row r="151" spans="1:15" s="18" customFormat="1" ht="15">
      <c r="A151" s="17"/>
      <c r="B151" s="14"/>
      <c r="C151" s="17"/>
      <c r="D151" s="17"/>
      <c r="E151" s="17"/>
      <c r="F151" s="17"/>
      <c r="G151" s="17"/>
      <c r="H151" s="17"/>
      <c r="I151" s="17"/>
      <c r="J151" s="17"/>
      <c r="K151" s="17"/>
      <c r="L151" s="35"/>
      <c r="M151" s="17"/>
      <c r="N151" s="17"/>
      <c r="O151" s="17"/>
    </row>
    <row r="152" spans="1:15" s="18" customFormat="1" ht="15">
      <c r="A152" s="17"/>
      <c r="B152" s="14"/>
      <c r="C152" s="17"/>
      <c r="D152" s="17"/>
      <c r="E152" s="17"/>
      <c r="F152" s="17"/>
      <c r="G152" s="17"/>
      <c r="H152" s="17"/>
      <c r="I152" s="17"/>
      <c r="J152" s="17"/>
      <c r="K152" s="17"/>
      <c r="L152" s="35"/>
      <c r="M152" s="17"/>
      <c r="N152" s="17"/>
      <c r="O152" s="17"/>
    </row>
    <row r="153" spans="1:15" s="18" customFormat="1" ht="15">
      <c r="A153" s="17"/>
      <c r="B153" s="14"/>
      <c r="C153" s="17"/>
      <c r="D153" s="17"/>
      <c r="E153" s="17"/>
      <c r="F153" s="17"/>
      <c r="G153" s="17"/>
      <c r="H153" s="17"/>
      <c r="I153" s="17"/>
      <c r="J153" s="17"/>
      <c r="K153" s="17"/>
      <c r="L153" s="35"/>
      <c r="M153" s="17"/>
      <c r="N153" s="17"/>
      <c r="O153" s="17"/>
    </row>
    <row r="154" spans="1:15" s="18" customFormat="1" ht="15">
      <c r="A154" s="17"/>
      <c r="B154" s="14"/>
      <c r="C154" s="17"/>
      <c r="D154" s="17"/>
      <c r="E154" s="17"/>
      <c r="F154" s="17"/>
      <c r="G154" s="17"/>
      <c r="H154" s="17"/>
      <c r="I154" s="17"/>
      <c r="J154" s="17"/>
      <c r="K154" s="17"/>
      <c r="L154" s="35"/>
      <c r="M154" s="17"/>
      <c r="N154" s="17"/>
      <c r="O154" s="17"/>
    </row>
    <row r="155" ht="15">
      <c r="B155" s="9"/>
    </row>
    <row r="156" ht="15">
      <c r="B156" s="9"/>
    </row>
    <row r="157" ht="15">
      <c r="B157" s="9"/>
    </row>
    <row r="158" ht="15">
      <c r="B158" s="9"/>
    </row>
    <row r="159" ht="15">
      <c r="B159" s="9"/>
    </row>
    <row r="160" ht="15">
      <c r="B160" s="9"/>
    </row>
    <row r="161" ht="15">
      <c r="B161" s="9"/>
    </row>
    <row r="274" ht="15"/>
    <row r="275" ht="15"/>
    <row r="276" ht="15"/>
  </sheetData>
  <sheetProtection/>
  <autoFilter ref="A4:O80"/>
  <mergeCells count="4">
    <mergeCell ref="A1:O1"/>
    <mergeCell ref="E3:H3"/>
    <mergeCell ref="K2:L2"/>
    <mergeCell ref="P70:P72"/>
  </mergeCells>
  <printOptions/>
  <pageMargins left="0.7" right="0.7" top="0.75" bottom="0.75" header="0.3" footer="0.3"/>
  <pageSetup horizontalDpi="180" verticalDpi="18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A1" sqref="A1:IV22"/>
    </sheetView>
  </sheetViews>
  <sheetFormatPr defaultColWidth="9.140625" defaultRowHeight="15"/>
  <sheetData>
    <row r="1" spans="1:15" s="18" customFormat="1" ht="48">
      <c r="A1" s="7" t="e">
        <f>Лист1!#REF!+1</f>
        <v>#REF!</v>
      </c>
      <c r="B1" s="14" t="s">
        <v>11</v>
      </c>
      <c r="C1" s="11" t="s">
        <v>34</v>
      </c>
      <c r="D1" s="15" t="s">
        <v>7</v>
      </c>
      <c r="E1" s="14">
        <v>250</v>
      </c>
      <c r="F1" s="14">
        <v>0</v>
      </c>
      <c r="G1" s="16">
        <v>0</v>
      </c>
      <c r="H1" s="14">
        <v>0</v>
      </c>
      <c r="I1" s="14">
        <v>250</v>
      </c>
      <c r="J1" s="14">
        <f>E1*0.58</f>
        <v>145</v>
      </c>
      <c r="K1" s="14">
        <v>0</v>
      </c>
      <c r="L1" s="24">
        <f>8/0.9</f>
        <v>8.88888888888889</v>
      </c>
      <c r="M1" s="14">
        <f aca="true" t="shared" si="0" ref="M1:M21">I1-J1-K1</f>
        <v>105</v>
      </c>
      <c r="N1" s="24">
        <f aca="true" t="shared" si="1" ref="N1:N21">I1-J1-L1-K1</f>
        <v>96.11111111111111</v>
      </c>
      <c r="O1" s="17"/>
    </row>
    <row r="2" spans="1:15" s="13" customFormat="1" ht="48">
      <c r="A2" s="7" t="e">
        <f aca="true" t="shared" si="2" ref="A2:A21">A1+1</f>
        <v>#REF!</v>
      </c>
      <c r="B2" s="9" t="s">
        <v>12</v>
      </c>
      <c r="C2" s="11" t="s">
        <v>34</v>
      </c>
      <c r="D2" s="11" t="s">
        <v>7</v>
      </c>
      <c r="E2" s="9">
        <v>250</v>
      </c>
      <c r="F2" s="9">
        <v>0</v>
      </c>
      <c r="G2" s="12">
        <v>0</v>
      </c>
      <c r="H2" s="9">
        <v>0</v>
      </c>
      <c r="I2" s="9">
        <v>250</v>
      </c>
      <c r="J2" s="14">
        <f>E2*0.69</f>
        <v>172.5</v>
      </c>
      <c r="K2" s="14">
        <v>0</v>
      </c>
      <c r="L2" s="25">
        <v>13.3</v>
      </c>
      <c r="M2" s="14">
        <f t="shared" si="0"/>
        <v>77.5</v>
      </c>
      <c r="N2" s="24">
        <f t="shared" si="1"/>
        <v>64.2</v>
      </c>
      <c r="O2" s="17"/>
    </row>
    <row r="3" spans="1:15" s="13" customFormat="1" ht="48">
      <c r="A3" s="7" t="e">
        <f t="shared" si="2"/>
        <v>#REF!</v>
      </c>
      <c r="B3" s="9" t="s">
        <v>13</v>
      </c>
      <c r="C3" s="11" t="s">
        <v>34</v>
      </c>
      <c r="D3" s="11" t="s">
        <v>7</v>
      </c>
      <c r="E3" s="9">
        <v>400</v>
      </c>
      <c r="F3" s="9">
        <v>400</v>
      </c>
      <c r="G3" s="12">
        <v>0</v>
      </c>
      <c r="H3" s="9">
        <v>0</v>
      </c>
      <c r="I3" s="9">
        <f>E3*1.4</f>
        <v>560</v>
      </c>
      <c r="J3" s="14">
        <f>E3*0.34+F3*0.05</f>
        <v>156</v>
      </c>
      <c r="K3" s="14">
        <v>0</v>
      </c>
      <c r="L3" s="24">
        <v>74.7</v>
      </c>
      <c r="M3" s="14">
        <f t="shared" si="0"/>
        <v>404</v>
      </c>
      <c r="N3" s="24">
        <f t="shared" si="1"/>
        <v>329.3</v>
      </c>
      <c r="O3" s="17"/>
    </row>
    <row r="4" spans="1:15" s="13" customFormat="1" ht="48">
      <c r="A4" s="7" t="e">
        <f t="shared" si="2"/>
        <v>#REF!</v>
      </c>
      <c r="B4" s="9" t="s">
        <v>14</v>
      </c>
      <c r="C4" s="11" t="s">
        <v>34</v>
      </c>
      <c r="D4" s="11" t="s">
        <v>7</v>
      </c>
      <c r="E4" s="27">
        <v>100</v>
      </c>
      <c r="F4" s="27">
        <v>100</v>
      </c>
      <c r="G4" s="12">
        <v>0</v>
      </c>
      <c r="H4" s="9">
        <v>0</v>
      </c>
      <c r="I4" s="9">
        <f>E4*1.4</f>
        <v>140</v>
      </c>
      <c r="J4" s="26">
        <v>100</v>
      </c>
      <c r="K4" s="14">
        <v>0</v>
      </c>
      <c r="L4" s="25">
        <v>0</v>
      </c>
      <c r="M4" s="14">
        <f t="shared" si="0"/>
        <v>40</v>
      </c>
      <c r="N4" s="24">
        <f t="shared" si="1"/>
        <v>40</v>
      </c>
      <c r="O4" s="17"/>
    </row>
    <row r="5" spans="1:15" s="13" customFormat="1" ht="48">
      <c r="A5" s="7" t="e">
        <f t="shared" si="2"/>
        <v>#REF!</v>
      </c>
      <c r="B5" s="9" t="s">
        <v>15</v>
      </c>
      <c r="C5" s="11" t="s">
        <v>34</v>
      </c>
      <c r="D5" s="11" t="s">
        <v>7</v>
      </c>
      <c r="E5" s="9">
        <v>250</v>
      </c>
      <c r="F5" s="9">
        <v>250</v>
      </c>
      <c r="G5" s="12">
        <v>0</v>
      </c>
      <c r="H5" s="9">
        <v>0</v>
      </c>
      <c r="I5" s="9">
        <f>E5*1.4</f>
        <v>350</v>
      </c>
      <c r="J5" s="14">
        <f>E5*0.4</f>
        <v>100</v>
      </c>
      <c r="K5" s="14">
        <v>0</v>
      </c>
      <c r="L5" s="25">
        <v>16.7</v>
      </c>
      <c r="M5" s="14">
        <f t="shared" si="0"/>
        <v>250</v>
      </c>
      <c r="N5" s="24">
        <f t="shared" si="1"/>
        <v>233.3</v>
      </c>
      <c r="O5" s="17"/>
    </row>
    <row r="6" spans="1:15" s="13" customFormat="1" ht="48">
      <c r="A6" s="7" t="e">
        <f t="shared" si="2"/>
        <v>#REF!</v>
      </c>
      <c r="B6" s="9" t="s">
        <v>16</v>
      </c>
      <c r="C6" s="11" t="s">
        <v>34</v>
      </c>
      <c r="D6" s="11" t="s">
        <v>7</v>
      </c>
      <c r="E6" s="9">
        <v>250</v>
      </c>
      <c r="F6" s="9">
        <v>0</v>
      </c>
      <c r="G6" s="12">
        <v>0</v>
      </c>
      <c r="H6" s="9">
        <v>0</v>
      </c>
      <c r="I6" s="9">
        <v>250</v>
      </c>
      <c r="J6" s="14">
        <f>E6*0.02</f>
        <v>5</v>
      </c>
      <c r="K6" s="14">
        <v>0</v>
      </c>
      <c r="L6" s="25">
        <v>33.3</v>
      </c>
      <c r="M6" s="14">
        <f t="shared" si="0"/>
        <v>245</v>
      </c>
      <c r="N6" s="24">
        <f t="shared" si="1"/>
        <v>211.7</v>
      </c>
      <c r="O6" s="17"/>
    </row>
    <row r="7" spans="1:15" s="13" customFormat="1" ht="48">
      <c r="A7" s="7" t="e">
        <f t="shared" si="2"/>
        <v>#REF!</v>
      </c>
      <c r="B7" s="9" t="s">
        <v>17</v>
      </c>
      <c r="C7" s="11" t="s">
        <v>34</v>
      </c>
      <c r="D7" s="11" t="s">
        <v>7</v>
      </c>
      <c r="E7" s="27">
        <v>400</v>
      </c>
      <c r="F7" s="27">
        <v>0</v>
      </c>
      <c r="G7" s="12">
        <v>0</v>
      </c>
      <c r="H7" s="9">
        <v>0</v>
      </c>
      <c r="I7" s="9">
        <v>400</v>
      </c>
      <c r="J7" s="26">
        <v>100</v>
      </c>
      <c r="K7" s="14">
        <v>0</v>
      </c>
      <c r="L7" s="25">
        <v>0</v>
      </c>
      <c r="M7" s="14">
        <f t="shared" si="0"/>
        <v>300</v>
      </c>
      <c r="N7" s="24">
        <f t="shared" si="1"/>
        <v>300</v>
      </c>
      <c r="O7" s="17"/>
    </row>
    <row r="8" spans="1:15" s="13" customFormat="1" ht="48">
      <c r="A8" s="7" t="e">
        <f t="shared" si="2"/>
        <v>#REF!</v>
      </c>
      <c r="B8" s="9" t="s">
        <v>18</v>
      </c>
      <c r="C8" s="11" t="s">
        <v>34</v>
      </c>
      <c r="D8" s="11" t="s">
        <v>9</v>
      </c>
      <c r="E8" s="9">
        <v>320</v>
      </c>
      <c r="F8" s="9">
        <v>0</v>
      </c>
      <c r="G8" s="12">
        <v>0</v>
      </c>
      <c r="H8" s="9">
        <v>0</v>
      </c>
      <c r="I8" s="9">
        <v>320</v>
      </c>
      <c r="J8" s="14">
        <f>E8*0.24</f>
        <v>76.8</v>
      </c>
      <c r="K8" s="14">
        <v>0</v>
      </c>
      <c r="L8" s="25">
        <v>0</v>
      </c>
      <c r="M8" s="14">
        <f t="shared" si="0"/>
        <v>243.2</v>
      </c>
      <c r="N8" s="24">
        <f t="shared" si="1"/>
        <v>243.2</v>
      </c>
      <c r="O8" s="17"/>
    </row>
    <row r="9" spans="1:15" ht="48">
      <c r="A9" s="7" t="e">
        <f t="shared" si="2"/>
        <v>#REF!</v>
      </c>
      <c r="B9" s="9" t="s">
        <v>19</v>
      </c>
      <c r="C9" s="11" t="s">
        <v>34</v>
      </c>
      <c r="D9" s="8" t="s">
        <v>9</v>
      </c>
      <c r="E9" s="9">
        <v>400</v>
      </c>
      <c r="F9" s="9">
        <v>0</v>
      </c>
      <c r="G9" s="12">
        <v>0</v>
      </c>
      <c r="H9" s="9">
        <v>0</v>
      </c>
      <c r="I9" s="9">
        <v>400</v>
      </c>
      <c r="J9" s="14">
        <f>E9*0.15</f>
        <v>60</v>
      </c>
      <c r="K9" s="14">
        <v>0</v>
      </c>
      <c r="L9" s="25">
        <v>3.3</v>
      </c>
      <c r="M9" s="23">
        <f t="shared" si="0"/>
        <v>340</v>
      </c>
      <c r="N9" s="24">
        <f t="shared" si="1"/>
        <v>336.7</v>
      </c>
      <c r="O9" s="19"/>
    </row>
    <row r="10" spans="1:15" ht="48">
      <c r="A10" s="7" t="e">
        <f t="shared" si="2"/>
        <v>#REF!</v>
      </c>
      <c r="B10" s="9" t="s">
        <v>20</v>
      </c>
      <c r="C10" s="11" t="s">
        <v>34</v>
      </c>
      <c r="D10" s="8" t="s">
        <v>7</v>
      </c>
      <c r="E10" s="9">
        <v>400</v>
      </c>
      <c r="F10" s="9">
        <v>400</v>
      </c>
      <c r="G10" s="12">
        <v>0</v>
      </c>
      <c r="H10" s="9">
        <v>0</v>
      </c>
      <c r="I10" s="9">
        <f>E10*1.4</f>
        <v>560</v>
      </c>
      <c r="J10" s="14">
        <f>E10*0.43+F10*0.37</f>
        <v>320</v>
      </c>
      <c r="K10" s="14">
        <v>0</v>
      </c>
      <c r="L10" s="25">
        <v>0</v>
      </c>
      <c r="M10" s="23">
        <f t="shared" si="0"/>
        <v>240</v>
      </c>
      <c r="N10" s="24">
        <f t="shared" si="1"/>
        <v>240</v>
      </c>
      <c r="O10" s="19"/>
    </row>
    <row r="11" spans="1:15" ht="48">
      <c r="A11" s="7" t="e">
        <f t="shared" si="2"/>
        <v>#REF!</v>
      </c>
      <c r="B11" s="9" t="s">
        <v>21</v>
      </c>
      <c r="C11" s="11" t="s">
        <v>34</v>
      </c>
      <c r="D11" s="8" t="s">
        <v>7</v>
      </c>
      <c r="E11" s="9">
        <v>400</v>
      </c>
      <c r="F11" s="9">
        <v>400</v>
      </c>
      <c r="G11" s="12">
        <v>0</v>
      </c>
      <c r="H11" s="9">
        <v>0</v>
      </c>
      <c r="I11" s="9">
        <f>E11*1.4</f>
        <v>560</v>
      </c>
      <c r="J11" s="14">
        <f>E11*0.25+F11*0.45</f>
        <v>280</v>
      </c>
      <c r="K11" s="14">
        <v>0</v>
      </c>
      <c r="L11" s="25">
        <v>0</v>
      </c>
      <c r="M11" s="23">
        <f t="shared" si="0"/>
        <v>280</v>
      </c>
      <c r="N11" s="24">
        <f t="shared" si="1"/>
        <v>280</v>
      </c>
      <c r="O11" s="19"/>
    </row>
    <row r="12" spans="1:15" ht="48">
      <c r="A12" s="7" t="e">
        <f t="shared" si="2"/>
        <v>#REF!</v>
      </c>
      <c r="B12" s="9" t="s">
        <v>22</v>
      </c>
      <c r="C12" s="11" t="s">
        <v>34</v>
      </c>
      <c r="D12" s="8" t="s">
        <v>9</v>
      </c>
      <c r="E12" s="9">
        <v>320</v>
      </c>
      <c r="F12" s="9">
        <v>400</v>
      </c>
      <c r="G12" s="12">
        <v>0</v>
      </c>
      <c r="H12" s="9">
        <v>0</v>
      </c>
      <c r="I12" s="9">
        <f>E12*1.4</f>
        <v>448</v>
      </c>
      <c r="J12" s="14">
        <f>E12*0.3+F12*0.45</f>
        <v>276</v>
      </c>
      <c r="K12" s="14">
        <v>0</v>
      </c>
      <c r="L12" s="25">
        <v>13.3</v>
      </c>
      <c r="M12" s="23">
        <f t="shared" si="0"/>
        <v>172</v>
      </c>
      <c r="N12" s="24">
        <f t="shared" si="1"/>
        <v>158.7</v>
      </c>
      <c r="O12" s="19"/>
    </row>
    <row r="13" spans="1:15" ht="48">
      <c r="A13" s="7" t="e">
        <f t="shared" si="2"/>
        <v>#REF!</v>
      </c>
      <c r="B13" s="9" t="s">
        <v>23</v>
      </c>
      <c r="C13" s="11" t="s">
        <v>34</v>
      </c>
      <c r="D13" s="8" t="s">
        <v>9</v>
      </c>
      <c r="E13" s="9">
        <v>320</v>
      </c>
      <c r="F13" s="9">
        <v>400</v>
      </c>
      <c r="G13" s="12">
        <v>0</v>
      </c>
      <c r="H13" s="9">
        <v>0</v>
      </c>
      <c r="I13" s="9">
        <f>E13*1.4</f>
        <v>448</v>
      </c>
      <c r="J13" s="14">
        <f>E13*0.07+F13*0.12</f>
        <v>70.4</v>
      </c>
      <c r="K13" s="14">
        <v>0</v>
      </c>
      <c r="L13" s="24">
        <f>122.2/0.9</f>
        <v>135.77777777777777</v>
      </c>
      <c r="M13" s="23">
        <f t="shared" si="0"/>
        <v>377.6</v>
      </c>
      <c r="N13" s="24">
        <f t="shared" si="1"/>
        <v>241.82222222222225</v>
      </c>
      <c r="O13" s="19"/>
    </row>
    <row r="14" spans="1:15" s="13" customFormat="1" ht="48">
      <c r="A14" s="7" t="e">
        <f t="shared" si="2"/>
        <v>#REF!</v>
      </c>
      <c r="B14" s="9" t="s">
        <v>24</v>
      </c>
      <c r="C14" s="11" t="s">
        <v>34</v>
      </c>
      <c r="D14" s="11" t="s">
        <v>9</v>
      </c>
      <c r="E14" s="9">
        <v>400</v>
      </c>
      <c r="F14" s="9">
        <v>400</v>
      </c>
      <c r="G14" s="12">
        <v>400</v>
      </c>
      <c r="H14" s="9">
        <v>0</v>
      </c>
      <c r="I14" s="9">
        <v>1120</v>
      </c>
      <c r="J14" s="14">
        <f>E14*0.21+F14*0.36+G14*0.16</f>
        <v>292</v>
      </c>
      <c r="K14" s="14">
        <v>0</v>
      </c>
      <c r="L14" s="24">
        <f>128/0.9</f>
        <v>142.22222222222223</v>
      </c>
      <c r="M14" s="14">
        <f t="shared" si="0"/>
        <v>828</v>
      </c>
      <c r="N14" s="24">
        <f t="shared" si="1"/>
        <v>685.7777777777778</v>
      </c>
      <c r="O14" s="17"/>
    </row>
    <row r="15" spans="1:15" ht="48">
      <c r="A15" s="7" t="e">
        <f t="shared" si="2"/>
        <v>#REF!</v>
      </c>
      <c r="B15" s="9" t="s">
        <v>25</v>
      </c>
      <c r="C15" s="11" t="s">
        <v>34</v>
      </c>
      <c r="D15" s="8" t="s">
        <v>7</v>
      </c>
      <c r="E15" s="9">
        <v>630</v>
      </c>
      <c r="F15" s="9">
        <v>630</v>
      </c>
      <c r="G15" s="12">
        <v>0</v>
      </c>
      <c r="H15" s="9">
        <v>0</v>
      </c>
      <c r="I15" s="9">
        <f>E15*1.4</f>
        <v>882</v>
      </c>
      <c r="J15" s="14">
        <f>E15*0.28+F15*0.28</f>
        <v>352.8</v>
      </c>
      <c r="K15" s="14">
        <v>0</v>
      </c>
      <c r="L15" s="25">
        <v>0</v>
      </c>
      <c r="M15" s="23">
        <f t="shared" si="0"/>
        <v>529.2</v>
      </c>
      <c r="N15" s="24">
        <f t="shared" si="1"/>
        <v>529.2</v>
      </c>
      <c r="O15" s="19"/>
    </row>
    <row r="16" spans="1:15" ht="48">
      <c r="A16" s="7" t="e">
        <f t="shared" si="2"/>
        <v>#REF!</v>
      </c>
      <c r="B16" s="9" t="s">
        <v>26</v>
      </c>
      <c r="C16" s="11" t="s">
        <v>34</v>
      </c>
      <c r="D16" s="8" t="s">
        <v>7</v>
      </c>
      <c r="E16" s="9">
        <v>250</v>
      </c>
      <c r="F16" s="9">
        <v>0</v>
      </c>
      <c r="G16" s="12">
        <v>0</v>
      </c>
      <c r="H16" s="9">
        <v>0</v>
      </c>
      <c r="I16" s="9">
        <v>250</v>
      </c>
      <c r="J16" s="14">
        <f>E16*0.26</f>
        <v>65</v>
      </c>
      <c r="K16" s="14">
        <v>0</v>
      </c>
      <c r="L16" s="25">
        <v>11.1</v>
      </c>
      <c r="M16" s="23">
        <f t="shared" si="0"/>
        <v>185</v>
      </c>
      <c r="N16" s="24">
        <f t="shared" si="1"/>
        <v>173.9</v>
      </c>
      <c r="O16" s="19"/>
    </row>
    <row r="17" spans="1:15" ht="48">
      <c r="A17" s="7" t="e">
        <f t="shared" si="2"/>
        <v>#REF!</v>
      </c>
      <c r="B17" s="9" t="s">
        <v>27</v>
      </c>
      <c r="C17" s="11" t="s">
        <v>34</v>
      </c>
      <c r="D17" s="8" t="s">
        <v>7</v>
      </c>
      <c r="E17" s="9">
        <v>400</v>
      </c>
      <c r="F17" s="9">
        <v>400</v>
      </c>
      <c r="G17" s="12">
        <v>0</v>
      </c>
      <c r="H17" s="9">
        <v>0</v>
      </c>
      <c r="I17" s="9">
        <f>E17*1.4</f>
        <v>560</v>
      </c>
      <c r="J17" s="14">
        <f>E17*0.59+F17*0.44</f>
        <v>412</v>
      </c>
      <c r="K17" s="14">
        <v>0</v>
      </c>
      <c r="L17" s="25">
        <v>0</v>
      </c>
      <c r="M17" s="23">
        <f t="shared" si="0"/>
        <v>148</v>
      </c>
      <c r="N17" s="24">
        <f t="shared" si="1"/>
        <v>148</v>
      </c>
      <c r="O17" s="19"/>
    </row>
    <row r="18" spans="1:15" s="13" customFormat="1" ht="48">
      <c r="A18" s="7" t="e">
        <f t="shared" si="2"/>
        <v>#REF!</v>
      </c>
      <c r="B18" s="9" t="s">
        <v>28</v>
      </c>
      <c r="C18" s="11" t="s">
        <v>34</v>
      </c>
      <c r="D18" s="11" t="s">
        <v>7</v>
      </c>
      <c r="E18" s="9">
        <v>400</v>
      </c>
      <c r="F18" s="9">
        <v>400</v>
      </c>
      <c r="G18" s="12">
        <v>0</v>
      </c>
      <c r="H18" s="9">
        <v>0</v>
      </c>
      <c r="I18" s="9">
        <f>E18*1.4</f>
        <v>560</v>
      </c>
      <c r="J18" s="14">
        <f>E18*0.06+F18*0.03</f>
        <v>36</v>
      </c>
      <c r="K18" s="14">
        <v>0</v>
      </c>
      <c r="L18" s="25">
        <v>11.1</v>
      </c>
      <c r="M18" s="14">
        <f t="shared" si="0"/>
        <v>524</v>
      </c>
      <c r="N18" s="24">
        <f t="shared" si="1"/>
        <v>512.9</v>
      </c>
      <c r="O18" s="17"/>
    </row>
    <row r="19" spans="1:15" s="13" customFormat="1" ht="48">
      <c r="A19" s="7" t="e">
        <f t="shared" si="2"/>
        <v>#REF!</v>
      </c>
      <c r="B19" s="14" t="s">
        <v>29</v>
      </c>
      <c r="C19" s="11" t="s">
        <v>34</v>
      </c>
      <c r="D19" s="11" t="s">
        <v>7</v>
      </c>
      <c r="E19" s="9">
        <v>100</v>
      </c>
      <c r="F19" s="9">
        <v>0</v>
      </c>
      <c r="G19" s="12">
        <v>0</v>
      </c>
      <c r="H19" s="9">
        <v>0</v>
      </c>
      <c r="I19" s="9">
        <v>100</v>
      </c>
      <c r="J19" s="14">
        <v>0</v>
      </c>
      <c r="K19" s="14">
        <v>0</v>
      </c>
      <c r="L19" s="25">
        <v>0</v>
      </c>
      <c r="M19" s="14">
        <f t="shared" si="0"/>
        <v>100</v>
      </c>
      <c r="N19" s="24">
        <f t="shared" si="1"/>
        <v>100</v>
      </c>
      <c r="O19" s="17"/>
    </row>
    <row r="20" spans="1:15" ht="48">
      <c r="A20" s="7" t="e">
        <f t="shared" si="2"/>
        <v>#REF!</v>
      </c>
      <c r="B20" s="9" t="s">
        <v>30</v>
      </c>
      <c r="C20" s="11" t="s">
        <v>34</v>
      </c>
      <c r="D20" s="8" t="s">
        <v>9</v>
      </c>
      <c r="E20" s="9">
        <v>400</v>
      </c>
      <c r="F20" s="9">
        <v>400</v>
      </c>
      <c r="G20" s="12">
        <v>0</v>
      </c>
      <c r="H20" s="9">
        <v>0</v>
      </c>
      <c r="I20" s="9">
        <f>E20*1.4</f>
        <v>560</v>
      </c>
      <c r="J20" s="14">
        <f>E20*0.15</f>
        <v>60</v>
      </c>
      <c r="K20" s="14">
        <v>0</v>
      </c>
      <c r="L20" s="25">
        <v>1.1</v>
      </c>
      <c r="M20" s="23">
        <f t="shared" si="0"/>
        <v>500</v>
      </c>
      <c r="N20" s="24">
        <f t="shared" si="1"/>
        <v>498.9</v>
      </c>
      <c r="O20" s="19"/>
    </row>
    <row r="21" spans="1:15" s="33" customFormat="1" ht="48">
      <c r="A21" s="28" t="e">
        <f t="shared" si="2"/>
        <v>#REF!</v>
      </c>
      <c r="B21" s="28" t="s">
        <v>31</v>
      </c>
      <c r="C21" s="29" t="s">
        <v>34</v>
      </c>
      <c r="D21" s="29" t="s">
        <v>7</v>
      </c>
      <c r="E21" s="28">
        <v>630</v>
      </c>
      <c r="F21" s="28">
        <v>630</v>
      </c>
      <c r="G21" s="30">
        <v>0</v>
      </c>
      <c r="H21" s="28">
        <v>0</v>
      </c>
      <c r="I21" s="28">
        <f>E21*1.4</f>
        <v>882</v>
      </c>
      <c r="J21" s="31">
        <v>120</v>
      </c>
      <c r="K21" s="31">
        <v>0</v>
      </c>
      <c r="L21" s="32">
        <f>370/0.9</f>
        <v>411.1111111111111</v>
      </c>
      <c r="M21" s="31">
        <f t="shared" si="0"/>
        <v>762</v>
      </c>
      <c r="N21" s="32">
        <f t="shared" si="1"/>
        <v>350.8888888888889</v>
      </c>
      <c r="O21" s="34" t="s">
        <v>35</v>
      </c>
    </row>
    <row r="22" spans="1:15" s="13" customFormat="1" ht="48">
      <c r="A22" s="7"/>
      <c r="B22" s="9" t="s">
        <v>89</v>
      </c>
      <c r="C22" s="11" t="s">
        <v>34</v>
      </c>
      <c r="D22" s="11" t="s">
        <v>7</v>
      </c>
      <c r="E22" s="9">
        <v>1000</v>
      </c>
      <c r="F22" s="9">
        <v>1000</v>
      </c>
      <c r="G22" s="12">
        <v>0</v>
      </c>
      <c r="H22" s="9">
        <v>0</v>
      </c>
      <c r="I22" s="9">
        <f>E22*1.4</f>
        <v>1400</v>
      </c>
      <c r="J22" s="14">
        <v>0</v>
      </c>
      <c r="K22" s="14"/>
      <c r="L22" s="24"/>
      <c r="M22" s="14"/>
      <c r="N22" s="24"/>
      <c r="O22" s="17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2020-03-26T12:31:10Z</dcterms:modified>
  <cp:category/>
  <cp:version/>
  <cp:contentType/>
  <cp:contentStatus/>
</cp:coreProperties>
</file>